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comments3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50" tabRatio="894" firstSheet="29" activeTab="29"/>
  </bookViews>
  <sheets>
    <sheet name="BM1 (2)" sheetId="1" state="hidden" r:id="rId1"/>
    <sheet name="BM2" sheetId="2" state="hidden" r:id="rId2"/>
    <sheet name="BM2 a" sheetId="3" state="hidden" r:id="rId3"/>
    <sheet name="BM2 b" sheetId="4" state="hidden" r:id="rId4"/>
    <sheet name="BM2cr" sheetId="5" state="hidden" r:id="rId5"/>
    <sheet name="BM3r " sheetId="6" state="hidden" r:id="rId6"/>
    <sheet name="BM4" sheetId="7" state="hidden" r:id="rId7"/>
    <sheet name="BM5 " sheetId="8" state="hidden" r:id="rId8"/>
    <sheet name="BM7 r" sheetId="9" state="hidden" r:id="rId9"/>
    <sheet name="BM8r" sheetId="10" state="hidden" r:id="rId10"/>
    <sheet name="BM9" sheetId="11" state="hidden" r:id="rId11"/>
    <sheet name="BieunayKhongin" sheetId="12" state="hidden" r:id="rId12"/>
    <sheet name="BM10" sheetId="13" state="hidden" r:id="rId13"/>
    <sheet name="Khongin" sheetId="14" state="hidden" r:id="rId14"/>
    <sheet name="BM11R" sheetId="15" state="hidden" r:id="rId15"/>
    <sheet name="BM13" sheetId="16" state="hidden" r:id="rId16"/>
    <sheet name="PL17CCTT(khongin)" sheetId="17" state="hidden" r:id="rId17"/>
    <sheet name="Sheet3" sheetId="18" state="hidden" r:id="rId18"/>
    <sheet name="Pl14" sheetId="19" state="hidden" r:id="rId19"/>
    <sheet name="Sheet1" sheetId="20" state="hidden" r:id="rId20"/>
    <sheet name="Sheet2" sheetId="21" state="hidden" r:id="rId21"/>
    <sheet name="BM14" sheetId="22" state="hidden" r:id="rId22"/>
    <sheet name="bm 15" sheetId="23" state="hidden" r:id="rId23"/>
    <sheet name="BM16" sheetId="24" state="hidden" r:id="rId24"/>
    <sheet name="Sheet4" sheetId="25" state="hidden" r:id="rId25"/>
    <sheet name="01TH" sheetId="26" state="hidden" r:id="rId26"/>
    <sheet name="foxz" sheetId="27" state="hidden" r:id="rId27"/>
    <sheet name="foxz_2" sheetId="28" state="veryHidden" r:id="rId28"/>
    <sheet name="foxz_3" sheetId="29" state="veryHidden" r:id="rId29"/>
    <sheet name="Biểu KET QUA 2023" sheetId="30" r:id="rId30"/>
    <sheet name="2022" sheetId="31" state="hidden" r:id="rId31"/>
    <sheet name="Sheet5" sheetId="32" state="hidden" r:id="rId32"/>
  </sheets>
  <externalReferences>
    <externalReference r:id="rId35"/>
    <externalReference r:id="rId36"/>
    <externalReference r:id="rId37"/>
    <externalReference r:id="rId38"/>
    <externalReference r:id="rId39"/>
    <externalReference r:id="rId40"/>
  </externalReferences>
  <definedNames>
    <definedName name="_Fill" localSheetId="11" hidden="1">#REF!</definedName>
    <definedName name="_Fill" localSheetId="12" hidden="1">#REF!</definedName>
    <definedName name="_Fill" localSheetId="13" hidden="1">#REF!</definedName>
    <definedName name="_Fill" hidden="1">#REF!</definedName>
    <definedName name="_Key1" localSheetId="25" hidden="1">#REF!</definedName>
    <definedName name="_Key1" localSheetId="11" hidden="1">#REF!</definedName>
    <definedName name="_Key1" localSheetId="0" hidden="1">#REF!</definedName>
    <definedName name="_Key1" localSheetId="12" hidden="1">#REF!</definedName>
    <definedName name="_Key1" localSheetId="2" hidden="1">#REF!</definedName>
    <definedName name="_Key1" localSheetId="3" hidden="1">#REF!</definedName>
    <definedName name="_Key1" localSheetId="4" hidden="1">#REF!</definedName>
    <definedName name="_Key1" localSheetId="5" hidden="1">#REF!</definedName>
    <definedName name="_Key1" localSheetId="8" hidden="1">#REF!</definedName>
    <definedName name="_Key1" localSheetId="9" hidden="1">#REF!</definedName>
    <definedName name="_Key1" localSheetId="13" hidden="1">#REF!</definedName>
    <definedName name="_Key1" hidden="1">#REF!</definedName>
    <definedName name="_Key2" localSheetId="25" hidden="1">#REF!</definedName>
    <definedName name="_Key2" localSheetId="11" hidden="1">#REF!</definedName>
    <definedName name="_Key2" localSheetId="0" hidden="1">#REF!</definedName>
    <definedName name="_Key2" localSheetId="12" hidden="1">#REF!</definedName>
    <definedName name="_Key2" localSheetId="2" hidden="1">#REF!</definedName>
    <definedName name="_Key2" localSheetId="3" hidden="1">#REF!</definedName>
    <definedName name="_Key2" localSheetId="4" hidden="1">#REF!</definedName>
    <definedName name="_Key2" localSheetId="5" hidden="1">#REF!</definedName>
    <definedName name="_Key2" localSheetId="8" hidden="1">#REF!</definedName>
    <definedName name="_Key2" localSheetId="9" hidden="1">#REF!</definedName>
    <definedName name="_Key2" localSheetId="13" hidden="1">#REF!</definedName>
    <definedName name="_Key2" hidden="1">#REF!</definedName>
    <definedName name="_Order1" hidden="1">255</definedName>
    <definedName name="_Order2" hidden="1">255</definedName>
    <definedName name="_Sort" localSheetId="25" hidden="1">#REF!</definedName>
    <definedName name="_Sort" localSheetId="11" hidden="1">#REF!</definedName>
    <definedName name="_Sort" localSheetId="0" hidden="1">#REF!</definedName>
    <definedName name="_Sort" localSheetId="12" hidden="1">#REF!</definedName>
    <definedName name="_Sort" localSheetId="2" hidden="1">#REF!</definedName>
    <definedName name="_Sort" localSheetId="3" hidden="1">#REF!</definedName>
    <definedName name="_Sort" localSheetId="4" hidden="1">#REF!</definedName>
    <definedName name="_Sort" localSheetId="5" hidden="1">#REF!</definedName>
    <definedName name="_Sort" localSheetId="8" hidden="1">#REF!</definedName>
    <definedName name="_Sort" localSheetId="9" hidden="1">#REF!</definedName>
    <definedName name="_Sort" localSheetId="13" hidden="1">#REF!</definedName>
    <definedName name="_Sort" hidden="1">#REF!</definedName>
    <definedName name="CLVC3">0.1</definedName>
    <definedName name="DataFilter" localSheetId="25">[1]!DataFilter</definedName>
    <definedName name="DataFilter" localSheetId="11">[1]!DataFilter</definedName>
    <definedName name="DataFilter" localSheetId="0">[1]!DataFilter</definedName>
    <definedName name="DataFilter" localSheetId="12">[1]!DataFilter</definedName>
    <definedName name="DataFilter" localSheetId="2">[1]!DataFilter</definedName>
    <definedName name="DataFilter" localSheetId="3">[1]!DataFilter</definedName>
    <definedName name="DataFilter" localSheetId="4">[1]!DataFilter</definedName>
    <definedName name="DataFilter" localSheetId="5">[1]!DataFilter</definedName>
    <definedName name="DataFilter" localSheetId="8">[1]!DataFilter</definedName>
    <definedName name="DataFilter" localSheetId="9">[1]!DataFilter</definedName>
    <definedName name="DataFilter" localSheetId="13">[1]!DataFilter</definedName>
    <definedName name="DataFilter">[1]!DataFilter</definedName>
    <definedName name="DataSort" localSheetId="25">[1]!DataSort</definedName>
    <definedName name="DataSort" localSheetId="11">[1]!DataSort</definedName>
    <definedName name="DataSort" localSheetId="0">[1]!DataSort</definedName>
    <definedName name="DataSort" localSheetId="12">[1]!DataSort</definedName>
    <definedName name="DataSort" localSheetId="2">[1]!DataSort</definedName>
    <definedName name="DataSort" localSheetId="3">[1]!DataSort</definedName>
    <definedName name="DataSort" localSheetId="4">[1]!DataSort</definedName>
    <definedName name="DataSort" localSheetId="5">[1]!DataSort</definedName>
    <definedName name="DataSort" localSheetId="8">[1]!DataSort</definedName>
    <definedName name="DataSort" localSheetId="9">[1]!DataSort</definedName>
    <definedName name="DataSort" localSheetId="13">[1]!DataSort</definedName>
    <definedName name="DataSort">[1]!DataSort</definedName>
    <definedName name="GoBack" localSheetId="25">[1]!GoBack</definedName>
    <definedName name="GoBack" localSheetId="11">[1]!GoBack</definedName>
    <definedName name="GoBack" localSheetId="0">[1]!GoBack</definedName>
    <definedName name="GoBack" localSheetId="12">[1]!GoBack</definedName>
    <definedName name="GoBack" localSheetId="2">[1]!GoBack</definedName>
    <definedName name="GoBack" localSheetId="3">[1]!GoBack</definedName>
    <definedName name="GoBack" localSheetId="4">[1]!GoBack</definedName>
    <definedName name="GoBack" localSheetId="5">[1]!GoBack</definedName>
    <definedName name="GoBack" localSheetId="8">[1]!GoBack</definedName>
    <definedName name="GoBack" localSheetId="9">[1]!GoBack</definedName>
    <definedName name="GoBack" localSheetId="13">[1]!GoBack</definedName>
    <definedName name="GoBack">[1]!GoBack</definedName>
    <definedName name="h" localSheetId="11" hidden="1">{"'Sheet1'!$L$16"}</definedName>
    <definedName name="h" localSheetId="12" hidden="1">{"'Sheet1'!$L$16"}</definedName>
    <definedName name="h" localSheetId="13" hidden="1">{"'Sheet1'!$L$16"}</definedName>
    <definedName name="h" hidden="1">{"'Sheet1'!$L$16"}</definedName>
    <definedName name="Heä_soá_laép_xaø_H">1.7</definedName>
    <definedName name="HSCT3">0.1</definedName>
    <definedName name="HSDN">2.5</definedName>
    <definedName name="HTML_CodePage" hidden="1">950</definedName>
    <definedName name="HTML_Control" localSheetId="11" hidden="1">{"'Sheet1'!$L$16"}</definedName>
    <definedName name="HTML_Control" localSheetId="12" hidden="1">{"'Sheet1'!$L$16"}</definedName>
    <definedName name="HTML_Control" localSheetId="13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11" hidden="1">{"'Sheet1'!$L$16"}</definedName>
    <definedName name="huy" localSheetId="12" hidden="1">{"'Sheet1'!$L$16"}</definedName>
    <definedName name="huy" localSheetId="13" hidden="1">{"'Sheet1'!$L$16"}</definedName>
    <definedName name="huy" hidden="1">{"'Sheet1'!$L$16"}</definedName>
    <definedName name="_xlnm.Print_Area" localSheetId="29">'Biểu KET QUA 2023'!$A$1:$U$131</definedName>
    <definedName name="_xlnm.Print_Area" localSheetId="11">'BieunayKhongin'!$A$1:$O$52</definedName>
    <definedName name="_xlnm.Print_Area" localSheetId="12">'BM10'!$A$1:$J$59</definedName>
    <definedName name="_xlnm.Print_Area" localSheetId="14">'BM11R'!$A$1:$L$25</definedName>
    <definedName name="_xlnm.Print_Area" localSheetId="15">'BM13'!$A$1:$K$13</definedName>
    <definedName name="_xlnm.Print_Area" localSheetId="21">'BM14'!$A$1:$K$33</definedName>
    <definedName name="_xlnm.Print_Area" localSheetId="1">'BM2'!$A$1:$J$21</definedName>
    <definedName name="_xlnm.Print_Area" localSheetId="6">'BM4'!$A$1:$K$21</definedName>
    <definedName name="_xlnm.Print_Area" localSheetId="7">'BM5 '!$A$1:$J$28</definedName>
    <definedName name="_xlnm.Print_Area" localSheetId="9">'BM8r'!$A$1:$J$86</definedName>
    <definedName name="_xlnm.Print_Area" localSheetId="10">'BM9'!$A$1:$K$34</definedName>
    <definedName name="_xlnm.Print_Area" localSheetId="13">'Khongin'!$A$1:$I$61</definedName>
    <definedName name="_xlnm.Print_Area" localSheetId="16">'PL17CCTT(khongin)'!$A$1:$V$39</definedName>
    <definedName name="_xlnm.Print_Titles" localSheetId="25">'01TH'!$9:$10</definedName>
    <definedName name="_xlnm.Print_Titles" localSheetId="29">'Biểu KET QUA 2023'!$16:$17</definedName>
    <definedName name="_xlnm.Print_Titles" localSheetId="11">'BieunayKhongin'!$5:$5</definedName>
    <definedName name="_xlnm.Print_Titles" localSheetId="0">'BM1 (2)'!$6:$6</definedName>
    <definedName name="_xlnm.Print_Titles" localSheetId="12">'BM10'!$6:$6</definedName>
    <definedName name="_xlnm.Print_Titles" localSheetId="14">'BM11R'!$6:$6</definedName>
    <definedName name="_xlnm.Print_Titles" localSheetId="21">'BM14'!$6:$6</definedName>
    <definedName name="_xlnm.Print_Titles" localSheetId="23">'BM16'!$7:$8</definedName>
    <definedName name="_xlnm.Print_Titles" localSheetId="1">'BM2'!$6:$6</definedName>
    <definedName name="_xlnm.Print_Titles" localSheetId="2">'BM2 a'!$4:$4</definedName>
    <definedName name="_xlnm.Print_Titles" localSheetId="3">'BM2 b'!$6:$6</definedName>
    <definedName name="_xlnm.Print_Titles" localSheetId="7">'BM5 '!$6:$6</definedName>
    <definedName name="_xlnm.Print_Titles" localSheetId="9">'BM8r'!$6:$6</definedName>
    <definedName name="_xlnm.Print_Titles" localSheetId="10">'BM9'!$6:$6</definedName>
    <definedName name="_xlnm.Print_Titles" localSheetId="13">'Khongin'!$5:$5</definedName>
    <definedName name="_xlnm.Print_Titles" localSheetId="18">'Pl14'!$4:$5</definedName>
    <definedName name="_xlnm.Print_Titles" localSheetId="16">'PL17CCTT(khongin)'!$5:$5</definedName>
    <definedName name="TaxTV">10%</definedName>
    <definedName name="TaxXL">5%</definedName>
    <definedName name="wrn.chi._.tiÆt." localSheetId="12" hidden="1">{#N/A,#N/A,FALSE,"Chi ti?t"}</definedName>
    <definedName name="wrn.chi._.tiÆt." localSheetId="13" hidden="1">{#N/A,#N/A,FALSE,"Chi ti?t"}</definedName>
    <definedName name="wrn.chi._.tiÆt." hidden="1">{#N/A,#N/A,FALSE,"Chi ti?t"}</definedName>
    <definedName name="XCCT">0.5</definedName>
  </definedNames>
  <calcPr fullCalcOnLoad="1"/>
</workbook>
</file>

<file path=xl/comments1.xml><?xml version="1.0" encoding="utf-8"?>
<comments xmlns="http://schemas.openxmlformats.org/spreadsheetml/2006/main">
  <authors>
    <author>pkt</author>
  </authors>
  <commentList>
    <comment ref="J79" authorId="0">
      <text>
        <r>
          <rPr>
            <b/>
            <sz val="9"/>
            <rFont val="Tahoma"/>
            <family val="2"/>
          </rPr>
          <t>pkt:</t>
        </r>
        <r>
          <rPr>
            <sz val="9"/>
            <rFont val="Tahoma"/>
            <family val="2"/>
          </rPr>
          <t xml:space="preserve">
kh 51 den 2015 68%</t>
        </r>
      </text>
    </comment>
    <comment ref="J96" authorId="0">
      <text>
        <r>
          <rPr>
            <b/>
            <sz val="9"/>
            <rFont val="Tahoma"/>
            <family val="2"/>
          </rPr>
          <t>pkt:</t>
        </r>
        <r>
          <rPr>
            <sz val="9"/>
            <rFont val="Tahoma"/>
            <family val="2"/>
          </rPr>
          <t xml:space="preserve">
có 02 bon chua co: Bon Lang, Bon Phê Gun xã QP</t>
        </r>
      </text>
    </comment>
    <comment ref="J41" authorId="0">
      <text>
        <r>
          <rPr>
            <b/>
            <sz val="9"/>
            <rFont val="Tahoma"/>
            <family val="2"/>
          </rPr>
          <t>pkt:</t>
        </r>
        <r>
          <rPr>
            <sz val="9"/>
            <rFont val="Tahoma"/>
            <family val="2"/>
          </rPr>
          <t xml:space="preserve">
Theo quy hoach tổng the cua tinh den 2020: </t>
        </r>
        <r>
          <rPr>
            <b/>
            <sz val="9"/>
            <rFont val="Tahoma"/>
            <family val="2"/>
          </rPr>
          <t>66 triệu</t>
        </r>
      </text>
    </comment>
    <comment ref="E54" authorId="0">
      <text>
        <r>
          <rPr>
            <b/>
            <sz val="9"/>
            <rFont val="Tahoma"/>
            <family val="2"/>
          </rPr>
          <t>pkt:</t>
        </r>
        <r>
          <rPr>
            <sz val="9"/>
            <rFont val="Tahoma"/>
            <family val="2"/>
          </rPr>
          <t xml:space="preserve">
du kien duong buon choah 13km; duong Nam da di 3 buon 4,5km</t>
        </r>
      </text>
    </comment>
    <comment ref="J127" authorId="0">
      <text>
        <r>
          <rPr>
            <b/>
            <sz val="9"/>
            <rFont val="Tahoma"/>
            <family val="2"/>
          </rPr>
          <t>pkt:</t>
        </r>
        <r>
          <rPr>
            <sz val="9"/>
            <rFont val="Tahoma"/>
            <family val="2"/>
          </rPr>
          <t xml:space="preserve">
3 xã Nam Dà, Dak dro, Dak sor</t>
        </r>
      </text>
    </comment>
  </commentList>
</comments>
</file>

<file path=xl/comments17.xml><?xml version="1.0" encoding="utf-8"?>
<comments xmlns="http://schemas.openxmlformats.org/spreadsheetml/2006/main">
  <authors>
    <author>10-Chu Van An </author>
  </authors>
  <commentList>
    <comment ref="J61" authorId="0">
      <text>
        <r>
          <rPr>
            <b/>
            <sz val="10"/>
            <rFont val="Tahoma"/>
            <family val="2"/>
          </rPr>
          <t>10-Chu Van An :</t>
        </r>
        <r>
          <rPr>
            <sz val="10"/>
            <rFont val="Tahoma"/>
            <family val="2"/>
          </rPr>
          <t xml:space="preserve">
NHNN dự kien vay tra no trung han 0,8-2 tỷ USD; vay nợ ngắn hạn ròng: 0,2-0,8 tỷ USD; FII: 0,2-1,2 tỷ USD; Tiền và tiền gửi, tài sản có khác thâm hụt 1,5-3,6 tỷ USD
</t>
        </r>
      </text>
    </comment>
    <comment ref="J27" authorId="0">
      <text>
        <r>
          <rPr>
            <b/>
            <sz val="10"/>
            <rFont val="Tahoma"/>
            <family val="2"/>
          </rPr>
          <t>10-Chu Van An :</t>
        </r>
        <r>
          <rPr>
            <sz val="10"/>
            <rFont val="Tahoma"/>
            <family val="2"/>
          </rPr>
          <t xml:space="preserve">
NHNN dự kien vay tra no trung han 0,8-2 tỷ USD; vay nợ ngắn hạn ròng: 0,2-0,8 tỷ USD; FII: 0,2-1,2 tỷ USD; Tiền và tiền gửi, tài sản có khác thâm hụt 1,5-3,6 tỷ USD
</t>
        </r>
      </text>
    </comment>
  </commentList>
</comments>
</file>

<file path=xl/comments19.xml><?xml version="1.0" encoding="utf-8"?>
<comments xmlns="http://schemas.openxmlformats.org/spreadsheetml/2006/main">
  <authors>
    <author>User</author>
  </authors>
  <commentList>
    <comment ref="H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Đã sửa theo đánh giá lại của thống kê
Số trước khi sửa là 1569,845</t>
        </r>
      </text>
    </comment>
    <comment ref="H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uớc tại kỳ họp 4 khóa 12 là 18
</t>
        </r>
      </text>
    </comment>
    <comment ref="H2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ước tại kỳ họp 4 khóa 12 là 1366,693</t>
        </r>
      </text>
    </comment>
    <comment ref="H2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ước là 28
</t>
        </r>
      </text>
    </comment>
  </commentList>
</comments>
</file>

<file path=xl/comments26.xml><?xml version="1.0" encoding="utf-8"?>
<comments xmlns="http://schemas.openxmlformats.org/spreadsheetml/2006/main">
  <authors>
    <author>pkt</author>
    <author>Admin</author>
  </authors>
  <commentList>
    <comment ref="V46" authorId="0">
      <text>
        <r>
          <rPr>
            <b/>
            <sz val="9"/>
            <rFont val="Tahoma"/>
            <family val="2"/>
          </rPr>
          <t>pkt:</t>
        </r>
        <r>
          <rPr>
            <sz val="9"/>
            <rFont val="Tahoma"/>
            <family val="2"/>
          </rPr>
          <t xml:space="preserve">
Theo quy hoach tổng the cua tinh den 2020: </t>
        </r>
        <r>
          <rPr>
            <b/>
            <sz val="9"/>
            <rFont val="Tahoma"/>
            <family val="2"/>
          </rPr>
          <t>66 triệu</t>
        </r>
      </text>
    </comment>
    <comment ref="Q82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11/12 bac sy</t>
        </r>
      </text>
    </comment>
    <comment ref="V86" authorId="0">
      <text>
        <r>
          <rPr>
            <b/>
            <sz val="9"/>
            <rFont val="Tahoma"/>
            <family val="2"/>
          </rPr>
          <t>pkt:</t>
        </r>
        <r>
          <rPr>
            <sz val="9"/>
            <rFont val="Tahoma"/>
            <family val="2"/>
          </rPr>
          <t xml:space="preserve">
kh 51 den 2015 68%</t>
        </r>
      </text>
    </comment>
    <comment ref="Q99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85</t>
        </r>
      </text>
    </comment>
    <comment ref="Q102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85 nq</t>
        </r>
      </text>
    </comment>
    <comment ref="V103" authorId="0">
      <text>
        <r>
          <rPr>
            <b/>
            <sz val="9"/>
            <rFont val="Tahoma"/>
            <family val="2"/>
          </rPr>
          <t>pkt:</t>
        </r>
        <r>
          <rPr>
            <sz val="9"/>
            <rFont val="Tahoma"/>
            <family val="2"/>
          </rPr>
          <t xml:space="preserve">
có 02 bon chua co: Bon Lang, Bon Phê Gun xã QP</t>
        </r>
      </text>
    </comment>
    <comment ref="Q126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 2016: 570ha; Trồng rừng TT: 400ha; Khoanh nuoi: 100ha; NLKH: 70ha</t>
        </r>
      </text>
    </comment>
    <comment ref="V134" authorId="0">
      <text>
        <r>
          <rPr>
            <b/>
            <sz val="9"/>
            <rFont val="Tahoma"/>
            <family val="2"/>
          </rPr>
          <t>pkt:</t>
        </r>
        <r>
          <rPr>
            <sz val="9"/>
            <rFont val="Tahoma"/>
            <family val="2"/>
          </rPr>
          <t xml:space="preserve">
3 xã Nam Dà, Dak dro, Dak sor</t>
        </r>
      </text>
    </comment>
    <comment ref="V135" authorId="0">
      <text>
        <r>
          <rPr>
            <b/>
            <sz val="9"/>
            <rFont val="Tahoma"/>
            <family val="2"/>
          </rPr>
          <t>pkt:</t>
        </r>
        <r>
          <rPr>
            <sz val="9"/>
            <rFont val="Tahoma"/>
            <family val="2"/>
          </rPr>
          <t xml:space="preserve">
3 xã Nam Dà, Dak dro, Dak sor</t>
        </r>
      </text>
    </comment>
  </commentList>
</comments>
</file>

<file path=xl/comments30.xml><?xml version="1.0" encoding="utf-8"?>
<comments xmlns="http://schemas.openxmlformats.org/spreadsheetml/2006/main">
  <authors>
    <author>Admin</author>
  </authors>
  <commentList>
    <comment ref="H5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vốn tập trung: 40,799; vốn NTM: 7,87; vôn giảm nghèo BV: 8,8ty</t>
        </r>
      </text>
    </comment>
    <comment ref="H6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dự kiến trường MN Chồi Non</t>
        </r>
      </text>
    </comment>
    <comment ref="H76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duy trì</t>
        </r>
      </text>
    </comment>
    <comment ref="H7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nam 2016 tăng gường do, sốt xuất huyết; 2017 giảm còn: 155 giường</t>
        </r>
      </text>
    </comment>
    <comment ref="E5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vốn tập trung: 40,799; vốn NTM: 7,87; vôn giảm nghèo BV: 8,8ty</t>
        </r>
      </text>
    </comment>
    <comment ref="E6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dự kiến trường MN Chồi Non</t>
        </r>
      </text>
    </comment>
    <comment ref="E76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duy trì</t>
        </r>
      </text>
    </comment>
    <comment ref="E7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nam 2016 tăng gường do, sốt xuất huyết; 2017 giảm còn: 155 giường</t>
        </r>
      </text>
    </comment>
    <comment ref="E81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hiện có 5 xa, them 2 xã = 7; 2017 </t>
        </r>
      </text>
    </comment>
    <comment ref="H81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hiện có 5 xa, them 2 xã = 7; 2017 </t>
        </r>
      </text>
    </comment>
  </commentList>
</comments>
</file>

<file path=xl/comments31.xml><?xml version="1.0" encoding="utf-8"?>
<comments xmlns="http://schemas.openxmlformats.org/spreadsheetml/2006/main">
  <authors>
    <author>Admin</author>
  </authors>
  <commentList>
    <comment ref="E5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vốn tập trung: 40,799; vốn NTM: 7,87; vôn giảm nghèo BV: 8,8ty</t>
        </r>
      </text>
    </comment>
    <comment ref="H5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vốn tập trung: 40,799; vốn NTM: 7,87; vôn giảm nghèo BV: 8,8ty</t>
        </r>
      </text>
    </comment>
    <comment ref="E6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dự kiến trường MN Chồi Non</t>
        </r>
      </text>
    </comment>
    <comment ref="H6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dự kiến trường MN Chồi Non</t>
        </r>
      </text>
    </comment>
    <comment ref="E76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duy trì</t>
        </r>
      </text>
    </comment>
    <comment ref="H76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duy trì</t>
        </r>
      </text>
    </comment>
    <comment ref="E7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nam 2016 tăng gường do, sốt xuất huyết; 2017 giảm còn: 155 giường</t>
        </r>
      </text>
    </comment>
    <comment ref="H7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nam 2016 tăng gường do, sốt xuất huyết; 2017 giảm còn: 155 giường</t>
        </r>
      </text>
    </comment>
    <comment ref="D81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hiện có 5 xa, them 2 xã = 7; 2017 </t>
        </r>
      </text>
    </comment>
    <comment ref="E81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hiện có 5 xa, them 2 xã = 7; 2017 </t>
        </r>
      </text>
    </comment>
    <comment ref="H81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hiện có 5 xa, them 2 xã = 7; 2017 </t>
        </r>
      </text>
    </comment>
  </commentList>
</comments>
</file>

<file path=xl/comments32.xml><?xml version="1.0" encoding="utf-8"?>
<comments xmlns="http://schemas.openxmlformats.org/spreadsheetml/2006/main">
  <authors>
    <author>Admin</author>
  </authors>
  <commentList>
    <comment ref="D56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vốn tập trung: 40,799; vốn NTM: 7,87; vôn giảm nghèo BV: 8,8ty</t>
        </r>
      </text>
    </comment>
    <comment ref="E56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vốn tập trung: 40,799; vốn NTM: 7,87; vôn giảm nghèo BV: 8,8ty</t>
        </r>
      </text>
    </comment>
    <comment ref="H56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vốn tập trung: 40,799; vốn NTM: 7,87; vôn giảm nghèo BV: 8,8ty</t>
        </r>
      </text>
    </comment>
    <comment ref="D68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dự kiến trường MN Chồi Non</t>
        </r>
      </text>
    </comment>
    <comment ref="E68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dự kiến trường MN Chồi Non</t>
        </r>
      </text>
    </comment>
    <comment ref="H68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dự kiến trường MN Chồi Non</t>
        </r>
      </text>
    </comment>
    <comment ref="D7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duy trì</t>
        </r>
      </text>
    </comment>
    <comment ref="E7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duy trì</t>
        </r>
      </text>
    </comment>
    <comment ref="H7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duy trì</t>
        </r>
      </text>
    </comment>
    <comment ref="D78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nam 2016 tăng gường do, sốt xuất huyết; 2017 giảm còn: 155 giường</t>
        </r>
      </text>
    </comment>
    <comment ref="E78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nam 2016 tăng gường do, sốt xuất huyết; 2017 giảm còn: 155 giường</t>
        </r>
      </text>
    </comment>
    <comment ref="H78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nam 2016 tăng gường do, sốt xuất huyết; 2017 giảm còn: 155 giường</t>
        </r>
      </text>
    </comment>
    <comment ref="D83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hiện có 5 xa, them 2 xã = 7; 2017 </t>
        </r>
      </text>
    </comment>
    <comment ref="E83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hiện có 5 xa, them 2 xã = 7; 2017 </t>
        </r>
      </text>
    </comment>
    <comment ref="H83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hiện có 5 xa, them 2 xã = 7; 2017 </t>
        </r>
      </text>
    </comment>
    <comment ref="D190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vốn tập trung: 40,799; vốn NTM: 7,87; vôn giảm nghèo BV: 8,8ty</t>
        </r>
      </text>
    </comment>
    <comment ref="E190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vốn tập trung: 40,799; vốn NTM: 7,87; vôn giảm nghèo BV: 8,8ty</t>
        </r>
      </text>
    </comment>
    <comment ref="H190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vốn tập trung: 40,799; vốn NTM: 7,87; vôn giảm nghèo BV: 8,8ty</t>
        </r>
      </text>
    </comment>
    <comment ref="D202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dự kiến trường MN Chồi Non</t>
        </r>
      </text>
    </comment>
    <comment ref="E202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dự kiến trường MN Chồi Non</t>
        </r>
      </text>
    </comment>
    <comment ref="H202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dự kiến trường MN Chồi Non</t>
        </r>
      </text>
    </comment>
    <comment ref="D211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duy trì</t>
        </r>
      </text>
    </comment>
    <comment ref="E211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duy trì</t>
        </r>
      </text>
    </comment>
    <comment ref="H211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duy trì</t>
        </r>
      </text>
    </comment>
    <comment ref="D212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nam 2016 tăng gường do, sốt xuất huyết; 2017 giảm còn: 155 giường</t>
        </r>
      </text>
    </comment>
    <comment ref="E212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nam 2016 tăng gường do, sốt xuất huyết; 2017 giảm còn: 155 giường</t>
        </r>
      </text>
    </comment>
    <comment ref="H212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nam 2016 tăng gường do, sốt xuất huyết; 2017 giảm còn: 155 giường</t>
        </r>
      </text>
    </comment>
    <comment ref="D21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hiện có 5 xa, them 2 xã = 7; 2017 </t>
        </r>
      </text>
    </comment>
    <comment ref="E21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hiện có 5 xa, them 2 xã = 7; 2017 </t>
        </r>
      </text>
    </comment>
    <comment ref="H21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hiện có 5 xa, them 2 xã = 7; 2017 </t>
        </r>
      </text>
    </comment>
  </commentList>
</comments>
</file>

<file path=xl/comments6.xml><?xml version="1.0" encoding="utf-8"?>
<comments xmlns="http://schemas.openxmlformats.org/spreadsheetml/2006/main">
  <authors>
    <author>Nguyen Anh</author>
  </authors>
  <commentList>
    <comment ref="D8" authorId="0">
      <text>
        <r>
          <rPr>
            <b/>
            <sz val="8"/>
            <rFont val="Tahoma"/>
            <family val="2"/>
          </rPr>
          <t xml:space="preserve">190 ngan sach+97 </t>
        </r>
        <r>
          <rPr>
            <b/>
            <sz val="10"/>
            <rFont val="Tahoma"/>
            <family val="2"/>
          </rPr>
          <t>dan dung cua dan +100 von khac</t>
        </r>
      </text>
    </comment>
  </commentList>
</comments>
</file>

<file path=xl/comments9.xml><?xml version="1.0" encoding="utf-8"?>
<comments xmlns="http://schemas.openxmlformats.org/spreadsheetml/2006/main">
  <authors>
    <author>pkt</author>
  </authors>
  <commentList>
    <comment ref="I14" authorId="0">
      <text>
        <r>
          <rPr>
            <b/>
            <sz val="9"/>
            <rFont val="Tahoma"/>
            <family val="2"/>
          </rPr>
          <t>pkt:</t>
        </r>
        <r>
          <rPr>
            <sz val="9"/>
            <rFont val="Tahoma"/>
            <family val="2"/>
          </rPr>
          <t xml:space="preserve">
25/50 truong</t>
        </r>
      </text>
    </comment>
  </commentList>
</comments>
</file>

<file path=xl/sharedStrings.xml><?xml version="1.0" encoding="utf-8"?>
<sst xmlns="http://schemas.openxmlformats.org/spreadsheetml/2006/main" count="3607" uniqueCount="1140">
  <si>
    <t>STT</t>
  </si>
  <si>
    <t>ChØ tiªu</t>
  </si>
  <si>
    <t>§¬n vÞ
tÝnh</t>
  </si>
  <si>
    <t>A</t>
  </si>
  <si>
    <t>1.</t>
  </si>
  <si>
    <t>T¨ng tr­ëng GDP</t>
  </si>
  <si>
    <t>%</t>
  </si>
  <si>
    <t>Trong ®ã:</t>
  </si>
  <si>
    <t>2.</t>
  </si>
  <si>
    <t>3.</t>
  </si>
  <si>
    <t xml:space="preserve"> - Tæng GDP theo VN§</t>
  </si>
  <si>
    <t xml:space="preserve"> - Tæng GDP qui USD </t>
  </si>
  <si>
    <t xml:space="preserve"> - GDP b×nh qu©n ®Çu ng­êi</t>
  </si>
  <si>
    <t>4.</t>
  </si>
  <si>
    <t>B</t>
  </si>
  <si>
    <t>%o</t>
  </si>
  <si>
    <t>C</t>
  </si>
  <si>
    <t>Ngh×n tû ®ång</t>
  </si>
  <si>
    <t xml:space="preserve"> - Cao su</t>
  </si>
  <si>
    <t>Tèc ®é t¨ng</t>
  </si>
  <si>
    <t>D</t>
  </si>
  <si>
    <t>Đơn vị</t>
  </si>
  <si>
    <t>Cơ cấu GDP</t>
  </si>
  <si>
    <t>- Công nghiệp và xây dựng</t>
  </si>
  <si>
    <t>- Dịch vụ</t>
  </si>
  <si>
    <t>Tuổi</t>
  </si>
  <si>
    <t>Tốc độ tăng tuyển mới trung cấp chuyên nghiệp</t>
  </si>
  <si>
    <t>Thùc hiÖn 2005</t>
  </si>
  <si>
    <t>Ghi chó</t>
  </si>
  <si>
    <t>I</t>
  </si>
  <si>
    <t>II</t>
  </si>
  <si>
    <t>Phô lôc 13</t>
  </si>
  <si>
    <t>Nguån vèn huy ®éng</t>
  </si>
  <si>
    <t>- TiÒn göi b»ng VN§</t>
  </si>
  <si>
    <t>- TiÒn göi b»ng ngo¹i tÖ</t>
  </si>
  <si>
    <t>- Tû lÖ tiÒn mÆt ngoµi hÖ thèng ng©n hµng/M2</t>
  </si>
  <si>
    <t>Tæng d­ nî cho vay nÒn kinh tÕ</t>
  </si>
  <si>
    <t>- Cho vay b»ng VN§</t>
  </si>
  <si>
    <t>- Cho vay ngo¹i tÖ</t>
  </si>
  <si>
    <t>GDP</t>
  </si>
  <si>
    <t>- Tû lÖ tiÒn göi/GDP</t>
  </si>
  <si>
    <t>III</t>
  </si>
  <si>
    <t>IV</t>
  </si>
  <si>
    <t>Tæng ph­¬ng tiÖn thanh to¸n/GDP</t>
  </si>
  <si>
    <t>TiÒn mÆt l­u th«ng ngoµi hÖ thèng ng©n hµng</t>
  </si>
  <si>
    <t>Tæng ph­¬ng tiÖn thanh to¸n (M2)</t>
  </si>
  <si>
    <t>+ Tèc ®é t¨ng</t>
  </si>
  <si>
    <t>+Tû lÖ cho vay b»ng VN§/tæng d­ nî</t>
  </si>
  <si>
    <t>+ Tû lÖ cho vay b»ng ngo¹i tÖ/tæng d­ nî</t>
  </si>
  <si>
    <t>- Tèc ®é t¨ng</t>
  </si>
  <si>
    <t>Môc tiªu KH 2011-2015</t>
  </si>
  <si>
    <t>tiÒn tÖ - tÝn dông 2011-2015</t>
  </si>
  <si>
    <t xml:space="preserve"> CÁN CÂN THANH TOÁN QUỐC TẾ </t>
  </si>
  <si>
    <t>Đơn vị: triệu USD</t>
  </si>
  <si>
    <t>Mục tiêu kế hoạch 5 năm 2011-2015</t>
  </si>
  <si>
    <t>Thực hiện 
2007</t>
  </si>
  <si>
    <t>Thực hiện
2008</t>
  </si>
  <si>
    <t>Kế hoạch
2009</t>
  </si>
  <si>
    <t>Ước thực hiện
2009</t>
  </si>
  <si>
    <t>KH 2010</t>
  </si>
  <si>
    <t>KH 2012</t>
  </si>
  <si>
    <t>KH 2013</t>
  </si>
  <si>
    <t>KH 2014</t>
  </si>
  <si>
    <t>KH 2015</t>
  </si>
  <si>
    <t>Cán cân thương mại</t>
  </si>
  <si>
    <t>Xuất khẩu</t>
  </si>
  <si>
    <t>Nhập khẩu</t>
  </si>
  <si>
    <t>Nhập khẩu (giá CIF)</t>
  </si>
  <si>
    <t>Dịch vụ</t>
  </si>
  <si>
    <t>Thu</t>
  </si>
  <si>
    <t>Chi</t>
  </si>
  <si>
    <t>Thu nhập đầu tư</t>
  </si>
  <si>
    <t>Chuyển tiền</t>
  </si>
  <si>
    <t>Nhà nước</t>
  </si>
  <si>
    <t>Tư nhân</t>
  </si>
  <si>
    <t>Cán cân vãng lai</t>
  </si>
  <si>
    <t>Cán cân vốn</t>
  </si>
  <si>
    <t>Đầu tư trực tiếp nước ngoài</t>
  </si>
  <si>
    <t>Vay trả nợ trung dài hạn</t>
  </si>
  <si>
    <t>Vay</t>
  </si>
  <si>
    <t>Trả đến hạn</t>
  </si>
  <si>
    <t>Vay ngắn hạn</t>
  </si>
  <si>
    <t>Đầu tư vào giấy tờ có giá</t>
  </si>
  <si>
    <t>Tiền và tiền gửi</t>
  </si>
  <si>
    <t>Lỗi - sai số</t>
  </si>
  <si>
    <t>Cán cân tổng thể</t>
  </si>
  <si>
    <t>TT</t>
  </si>
  <si>
    <t>Chi số giá</t>
  </si>
  <si>
    <t>PA1</t>
  </si>
  <si>
    <t>PA2</t>
  </si>
  <si>
    <t>TB</t>
  </si>
  <si>
    <t>Tỷ giá</t>
  </si>
  <si>
    <t>Dân số</t>
  </si>
  <si>
    <t>Tổng 5 năm</t>
  </si>
  <si>
    <t>Nguồn</t>
  </si>
  <si>
    <t>KN nhập khẩu</t>
  </si>
  <si>
    <t>Nhập khẩu (giá FOB)</t>
  </si>
  <si>
    <t>Sử dụng</t>
  </si>
  <si>
    <t>Tiêu dùng cuối cùng</t>
  </si>
  <si>
    <t>Tổng tích lũy tài sản</t>
  </si>
  <si>
    <t>Tiết kiệm</t>
  </si>
  <si>
    <t>KNXK</t>
  </si>
  <si>
    <t>XK (giá FOB)</t>
  </si>
  <si>
    <t>Chênh lệch XNK HH và DV</t>
  </si>
  <si>
    <t>Đơn vị tính</t>
  </si>
  <si>
    <t>Ng.tỷ Đ</t>
  </si>
  <si>
    <t>Tỷ USD</t>
  </si>
  <si>
    <t>Ng.Đ</t>
  </si>
  <si>
    <t>Cơ cấu</t>
  </si>
  <si>
    <t>Cơ cấu Tích lũy - tiêu dùng</t>
  </si>
  <si>
    <t>Tiêu dùng</t>
  </si>
  <si>
    <t>TÍch lũy</t>
  </si>
  <si>
    <t>Tiêu dùng/GDP</t>
  </si>
  <si>
    <t>TÍch lũy/GDP</t>
  </si>
  <si>
    <t>Tiết kiệm/GDP</t>
  </si>
  <si>
    <t>NN</t>
  </si>
  <si>
    <t>CN</t>
  </si>
  <si>
    <t>DV</t>
  </si>
  <si>
    <t>NN 1</t>
  </si>
  <si>
    <t>CN 1</t>
  </si>
  <si>
    <t>FII</t>
  </si>
  <si>
    <t>GDP thuc te 1</t>
  </si>
  <si>
    <t>GDP thuc te 2</t>
  </si>
  <si>
    <t>NN 2</t>
  </si>
  <si>
    <t>CN 2</t>
  </si>
  <si>
    <t>DV1</t>
  </si>
  <si>
    <t>DV2</t>
  </si>
  <si>
    <t>Lao dong</t>
  </si>
  <si>
    <t>2015-1</t>
  </si>
  <si>
    <t>2015-2</t>
  </si>
  <si>
    <t>trieu ld</t>
  </si>
  <si>
    <t>Nang suat lao dong</t>
  </si>
  <si>
    <t>Tong 1</t>
  </si>
  <si>
    <t>- Alumina</t>
  </si>
  <si>
    <t>2</t>
  </si>
  <si>
    <t>¦íc thùc hiÖn 2011</t>
  </si>
  <si>
    <t>Trong đó:</t>
  </si>
  <si>
    <t>TỔNG SỐ</t>
  </si>
  <si>
    <t>Nông nghiệp</t>
  </si>
  <si>
    <t>Tỷ trọng so với tổng số (%)</t>
  </si>
  <si>
    <t>Công nghiệp và xây dựng</t>
  </si>
  <si>
    <t>Trong đó</t>
  </si>
  <si>
    <t>Khai khoáng</t>
  </si>
  <si>
    <t>Công nghiệp chế biến và chế tạo</t>
  </si>
  <si>
    <t>Sản xuất và phân phối điện, khí đốt, nước nóng, hơi nước và điều hòa không khí</t>
  </si>
  <si>
    <t>Cung cấp nước; hoạt động quản lý và xử lý nước thải</t>
  </si>
  <si>
    <t>Xây dựng</t>
  </si>
  <si>
    <t>Bán buôn và bán lẻ; sửa chữa ô tô, mô tô và xe máy và xe có động cơ khác</t>
  </si>
  <si>
    <t>Vận tải; kho bãi</t>
  </si>
  <si>
    <t>Dịch vụ lưu trú và ăn uống</t>
  </si>
  <si>
    <t>Thông tin và truyền thông</t>
  </si>
  <si>
    <t>Hoạt động tài chính, ngân hàng và  bảo hiểm</t>
  </si>
  <si>
    <t>Hoạt động kinh doanh bất động sản</t>
  </si>
  <si>
    <t>Hoạt động chuyên môn và khoa học công nghệ</t>
  </si>
  <si>
    <t>Hoạt động hành chính và dịch vụ hỗ trợ</t>
  </si>
  <si>
    <t>Hoạt động của Đảng cộng sản, tổ chức chính trị - xã hội; quản lý Nhà nước, an ninh quốc phòng; đảm bảo xã hội bắt buộc</t>
  </si>
  <si>
    <t>Giáo dục và đào tạo</t>
  </si>
  <si>
    <t xml:space="preserve">Y tế và hoạt động trợ giúp xã hội </t>
  </si>
  <si>
    <t>Nghệ thuật, vui chơi và giải trí</t>
  </si>
  <si>
    <t>Hoạt động khác</t>
  </si>
  <si>
    <t>Hoàn trả tạm ứng theo Quyết định 910/QĐ-TTg (phần địa phương)</t>
  </si>
  <si>
    <t>VI</t>
  </si>
  <si>
    <t>Các khoản chưa phân bổ cụ thể</t>
  </si>
  <si>
    <t>Chuẩn bị đầu tư</t>
  </si>
  <si>
    <t>An ninh</t>
  </si>
  <si>
    <t>Quốc phòng</t>
  </si>
  <si>
    <t>Quản lý nhà nước</t>
  </si>
  <si>
    <t>Thông tin</t>
  </si>
  <si>
    <t>Thể thao</t>
  </si>
  <si>
    <t>Văn hóa</t>
  </si>
  <si>
    <t>Tổng VH+TT</t>
  </si>
  <si>
    <t>Văn hoá</t>
  </si>
  <si>
    <t>Xã hội</t>
  </si>
  <si>
    <t>Y tế</t>
  </si>
  <si>
    <t>Y tế - xã hội</t>
  </si>
  <si>
    <t>Tài nguyên và Môi trường</t>
  </si>
  <si>
    <t>qlnn</t>
  </si>
  <si>
    <t>Khoa học, công nghệ và công nghệ thông tin</t>
  </si>
  <si>
    <t>cap nuoc</t>
  </si>
  <si>
    <t>gt</t>
  </si>
  <si>
    <t>Cấp nước và xử lý rác thải, nước thải</t>
  </si>
  <si>
    <t>nn</t>
  </si>
  <si>
    <t>Lĩnh vực xã hội</t>
  </si>
  <si>
    <t>Kho tàng</t>
  </si>
  <si>
    <t>Giao thông vận tải</t>
  </si>
  <si>
    <t>Nông, lâm nghiệp và thủy sản</t>
  </si>
  <si>
    <t>Công nghiệp</t>
  </si>
  <si>
    <t>Lĩnh vực kinh tế</t>
  </si>
  <si>
    <t>- Chi bổ sung dự trữ nhà nước</t>
  </si>
  <si>
    <t>- Vốn điều lệ: Quỹ hợp tác xã</t>
  </si>
  <si>
    <t>- Cho vay chính sách hộ đồng bào dân tộc thiểu số đặc biệt khó khăn, nhà ở cho người nghèo, cho vay hộ đồng bào nghèo vùng Đồng bằng Sông Cửu Long,...</t>
  </si>
  <si>
    <t>- Lợi nhuận để lại đầu tư của Tập đoàn Dầu khí</t>
  </si>
  <si>
    <t>Cho vay giải quyết việc làm</t>
  </si>
  <si>
    <t>- Bù lãi suất tín dụng đầu tư và tín dụng chính sách xã hội</t>
  </si>
  <si>
    <t>- Bổ sung vốn cho các doanh nghiệp công ích và doanh nghiệp của khu kinh tế quốc phòng</t>
  </si>
  <si>
    <t>- Bổ sung các Quỹ xúc tiến thương mại, đầu tư, du lịch và góp vốn cổ phần các tổ chức tài chính quốc tế</t>
  </si>
  <si>
    <t>CÁC KHOẢN CHI CHUNG</t>
  </si>
  <si>
    <t>Phụ lục 17</t>
  </si>
  <si>
    <t>Tỷ trọng thu cân đối không bao gồm đầu tư từ tiền bán nhà đất, dầu thô, thu XNK, viện trợ</t>
  </si>
  <si>
    <t>2011-2015</t>
  </si>
  <si>
    <t>Ngành, lĩnh vực</t>
  </si>
  <si>
    <t>1</t>
  </si>
  <si>
    <t>Phụ lục 12b</t>
  </si>
  <si>
    <t>Phụ lục 13b</t>
  </si>
  <si>
    <t>Phương án 1</t>
  </si>
  <si>
    <t>Phương án 2</t>
  </si>
  <si>
    <r>
      <t xml:space="preserve">ĐẦU TƯ PHÁT TRIỂN TOÀN XÃ HỘI THEO NGÀNH, LĨNH VỰC GIAI ĐOẠN 2011-2015
</t>
    </r>
    <r>
      <rPr>
        <b/>
        <i/>
        <sz val="14"/>
        <rFont val="Times New Roman"/>
        <family val="1"/>
      </rPr>
      <t>(Phương án 2)</t>
    </r>
  </si>
  <si>
    <t>-</t>
  </si>
  <si>
    <t>Khoa học, công nghệ</t>
  </si>
  <si>
    <t>Đơn vị: Tỷ đồng (giá thực tế)</t>
  </si>
  <si>
    <r>
      <t xml:space="preserve">ĐẦU TƯ NGUỒN NSNN VÀ TPCP PHÂN THEO NGÀNH, LĨNH VỰC GIAI ĐOẠN 2011-2015
</t>
    </r>
    <r>
      <rPr>
        <b/>
        <i/>
        <sz val="12"/>
        <rFont val="Times New Roman"/>
        <family val="1"/>
      </rPr>
      <t>(Phương án 2)</t>
    </r>
  </si>
  <si>
    <t>Chỉ tiêu</t>
  </si>
  <si>
    <t>- Số thuê bao internet băng thông rộng/100 dân</t>
  </si>
  <si>
    <t xml:space="preserve"> % </t>
  </si>
  <si>
    <t xml:space="preserve"> Thuê bao </t>
  </si>
  <si>
    <t xml:space="preserve"> Nghìn tỷ đồng </t>
  </si>
  <si>
    <t xml:space="preserve">Tốc độ tăng giá trị sản xuất </t>
  </si>
  <si>
    <t xml:space="preserve">Giá trị tăng thêm </t>
  </si>
  <si>
    <t>Sản phẩm chủ yếu</t>
  </si>
  <si>
    <t xml:space="preserve"> - Lương thực có hạt</t>
  </si>
  <si>
    <t xml:space="preserve">   Trong đó: + Thóc</t>
  </si>
  <si>
    <t xml:space="preserve">                    + Ngô</t>
  </si>
  <si>
    <t xml:space="preserve"> - Cà phê</t>
  </si>
  <si>
    <t xml:space="preserve"> - Thịt hơi các loại</t>
  </si>
  <si>
    <t xml:space="preserve"> - Trồng rừng tập trung</t>
  </si>
  <si>
    <t xml:space="preserve"> - Tỷ lệ che phủ rừng</t>
  </si>
  <si>
    <t xml:space="preserve"> - Sản lượng thuỷ hải sản</t>
  </si>
  <si>
    <t xml:space="preserve"> - Diện tích nuôi trồng thuỷ sản</t>
  </si>
  <si>
    <t xml:space="preserve"> Triệu tấn </t>
  </si>
  <si>
    <t xml:space="preserve"> Nghìn tấn </t>
  </si>
  <si>
    <t xml:space="preserve"> Nghìn ha </t>
  </si>
  <si>
    <t xml:space="preserve"> Tốc độ tăng tổng mức bán lẻ hàng hóa và dịch vụ tiêu dùng xã hội</t>
  </si>
  <si>
    <t>Vận tải</t>
  </si>
  <si>
    <t>Thông tin - Truyền thông</t>
  </si>
  <si>
    <t>- Số thuê bao điện thoại/100 dân</t>
  </si>
  <si>
    <t>Du lịch</t>
  </si>
  <si>
    <t>- Tốc độ tăng khối lượng hàng hoá vận chuyển</t>
  </si>
  <si>
    <t>- Tốc độ tăng khối lượng hàng hoá luân chuyển</t>
  </si>
  <si>
    <t>- Tốc độ tăng khối lượng hành khách vận chuyển</t>
  </si>
  <si>
    <t>- Tốc độ tăng khối lượng hành khách luân chuyển</t>
  </si>
  <si>
    <t>Tốc độ tăng</t>
  </si>
  <si>
    <t>Dạy nghề và trung cấp chuyên nghiệp</t>
  </si>
  <si>
    <t>Tỷ lệ giá trị sản phẩm công nghệ cao</t>
  </si>
  <si>
    <t>Tỷ lệ sáng chế đăng ký bảo hộ</t>
  </si>
  <si>
    <t>Tỷ lệ đổi mới công nghệ</t>
  </si>
  <si>
    <t>GIÁO DỤC</t>
  </si>
  <si>
    <t>KHOA HỌC VÀ CÔNG NGHỆ</t>
  </si>
  <si>
    <t>ĐÀO TẠO</t>
  </si>
  <si>
    <t xml:space="preserve"> Nghìn người </t>
  </si>
  <si>
    <t>Dân số trung bình (năm cuối kỳ)</t>
  </si>
  <si>
    <t>Trong đó: Dân số nông thôn</t>
  </si>
  <si>
    <t>Lao động từ 15 tuổi trở lên đang làm việc trong nền kinh tế quốc dân</t>
  </si>
  <si>
    <t>Cơ cấu lao động (năm cuối kỳ)</t>
  </si>
  <si>
    <t>- Nông, lâm nghiệp và thuỷ sản</t>
  </si>
  <si>
    <t>Số di tích được tu bổ</t>
  </si>
  <si>
    <t>Số bác sỹ/ 1 vạn dân</t>
  </si>
  <si>
    <t>Tỷ suất chết trẻ em dưới 1 tuổi</t>
  </si>
  <si>
    <t>Tỷ suất chết của trẻ em dưới 5 tuổi</t>
  </si>
  <si>
    <t>Tỷ lệ trẻ em dưới 5 tuổi suy dinh dưỡng (cân nặng theo tuổi)</t>
  </si>
  <si>
    <t>Tỷ lệ trẻ em dưới 1 tuổi tiêm đủ 7 loại vaccine</t>
  </si>
  <si>
    <t>Triệu người</t>
  </si>
  <si>
    <t xml:space="preserve"> Di tích </t>
  </si>
  <si>
    <t xml:space="preserve"> Giường </t>
  </si>
  <si>
    <t xml:space="preserve"> Bác sỹ </t>
  </si>
  <si>
    <t xml:space="preserve"> Người </t>
  </si>
  <si>
    <t>- Mức giảm tỷ lệ sinh (năm cuối kỳ)</t>
  </si>
  <si>
    <t>DÂN SỐ</t>
  </si>
  <si>
    <t>LAO ĐỘNG</t>
  </si>
  <si>
    <t>VĂN HÓA</t>
  </si>
  <si>
    <t>Y TẾ (năm cuối kỳ)</t>
  </si>
  <si>
    <t>Nguồn vốn</t>
  </si>
  <si>
    <t>Vốn đầu tư thuộc ngân sách nhà nước</t>
  </si>
  <si>
    <t>So với tổng số</t>
  </si>
  <si>
    <t>Vốn trái phiếu Chính phủ</t>
  </si>
  <si>
    <t>Vốn tín dụng đầu tư nhà nước</t>
  </si>
  <si>
    <t>Vốn đầu tư của doanh nghiệp nhà nước</t>
  </si>
  <si>
    <t>Vốn đầu tư của dân cư và doanh nghiệp tư nhân</t>
  </si>
  <si>
    <t>Vốn huy động khác</t>
  </si>
  <si>
    <t>Thu nội địa (không kể thu từ dầu thô)</t>
  </si>
  <si>
    <t>Thu từ dầu thô</t>
  </si>
  <si>
    <t>Thu từ xuất, nhập khẩu</t>
  </si>
  <si>
    <t>Thu viện trợ không hoàn lại và quỹ dự trữ tài chính</t>
  </si>
  <si>
    <t>TỔNG THU CÂN ĐỐI</t>
  </si>
  <si>
    <t>TỔNG CHI NSNN</t>
  </si>
  <si>
    <t>Tổng số doanh nghiệp đăng ký thành lập</t>
  </si>
  <si>
    <t>Số doanh nghiệp đăng ký mới</t>
  </si>
  <si>
    <t>Tổng số vốn đăng ký của doanh nghiệp dân doanh thành lập mới</t>
  </si>
  <si>
    <t>Số doanh nghiệp hoạt động trong nền kinh tế (không tính các doanh nghiệp đã giải thể)</t>
  </si>
  <si>
    <t>Số doanh nghiệp giải thể hàng năm</t>
  </si>
  <si>
    <t xml:space="preserve"> Nghìn doanh nghiệp </t>
  </si>
  <si>
    <t>- Tỷ lệ số xã có điện lưới quốc gia</t>
  </si>
  <si>
    <t>- Tỷ lệ số hộ nông thôn có điện</t>
  </si>
  <si>
    <t>Đơn vị: Tỷ đồng (giá hiện hành)</t>
  </si>
  <si>
    <t>Tỷ đồng</t>
  </si>
  <si>
    <t>- Tuyển mới trung cấp chuyên nghiệp</t>
  </si>
  <si>
    <t>- Tỷ lệ lao động qua đào tạo</t>
  </si>
  <si>
    <t>3</t>
  </si>
  <si>
    <t>4</t>
  </si>
  <si>
    <t>Triệu đồng</t>
  </si>
  <si>
    <t>Người</t>
  </si>
  <si>
    <t>Trong đó lao động nữ</t>
  </si>
  <si>
    <t>Triệu đồng/ tháng/ người</t>
  </si>
  <si>
    <t>Ngành công nghiệp</t>
  </si>
  <si>
    <t>Tổng công suất đến hết năm 2015</t>
  </si>
  <si>
    <t>Tổng số</t>
  </si>
  <si>
    <t>5</t>
  </si>
  <si>
    <t>6</t>
  </si>
  <si>
    <t>7</t>
  </si>
  <si>
    <t>8</t>
  </si>
  <si>
    <t>9</t>
  </si>
  <si>
    <t>10</t>
  </si>
  <si>
    <t>11=4+10</t>
  </si>
  <si>
    <t>Ngành điện</t>
  </si>
  <si>
    <t>MW</t>
  </si>
  <si>
    <t>Ngành phân bón</t>
  </si>
  <si>
    <t xml:space="preserve"> - Phân Ure</t>
  </si>
  <si>
    <t>- Phân DAP</t>
  </si>
  <si>
    <t xml:space="preserve"> - Phân NPK</t>
  </si>
  <si>
    <t>Ngành xi măng</t>
  </si>
  <si>
    <t>Ngành thép</t>
  </si>
  <si>
    <t>Ngành chế biến khoáng sản</t>
  </si>
  <si>
    <t xml:space="preserve"> - Tinh quặng apatit</t>
  </si>
  <si>
    <t>……….</t>
  </si>
  <si>
    <t>Ngành ………...</t>
  </si>
  <si>
    <t>Ghi chú: (*) Số liệu điện sản xuất, điện nhập khẩu năm 2016 là số ước thực hiện; 2012-2020 và mục tiêu 5 năm 2011-2015 là lấy theo quy hoạch điện VII được Thủ tướng Chính phủ phê duyệt ngày 21/7/2016</t>
  </si>
  <si>
    <t>Biểu mẫu số 14</t>
  </si>
  <si>
    <t>Biểu mẫu số 13</t>
  </si>
  <si>
    <t>Biểu mẫu số 11</t>
  </si>
  <si>
    <t>Biểu mẫu số 10</t>
  </si>
  <si>
    <t>Biểu mẫu số 9</t>
  </si>
  <si>
    <t>Biểu mẫu số 8</t>
  </si>
  <si>
    <t>Biểu mẫu số 5</t>
  </si>
  <si>
    <t>Biểu mẫu số 4</t>
  </si>
  <si>
    <t>Biểu mẫu số 2</t>
  </si>
  <si>
    <t>Tỷ lệ người dân tham gia bảo hiểm y tế</t>
  </si>
  <si>
    <t>Tỷ trọng thu nội địa trên tổng thu NSNN</t>
  </si>
  <si>
    <t>Tỷ trọng thu từ dầu thô trên tổng thu NSNN</t>
  </si>
  <si>
    <t>Tỷ trọng thu từ xuất, nhập khẩu trên tổng thu NSNN</t>
  </si>
  <si>
    <t>Tỷ trọng thu viện trợ trên tổng thu NSNN</t>
  </si>
  <si>
    <t>Tỷ trọng chi đầu tư phát triển so với tổng chi</t>
  </si>
  <si>
    <t>Tỷ trọng chi thường xuyên so với tổng chi</t>
  </si>
  <si>
    <t>Tỷ trọng chi trả nợ, viện trợ so với tổng chi</t>
  </si>
  <si>
    <t>Chi thường xuyên</t>
  </si>
  <si>
    <t>Chi trả nợ, viện trợ</t>
  </si>
  <si>
    <t>Chi đầu tư phát triển</t>
  </si>
  <si>
    <t>- Tuyển mới cao đẳng nghề và trung cấp nghề</t>
  </si>
  <si>
    <t>Tốc độ tăng tuyển mới cao đẳng, trung cấp nghề</t>
  </si>
  <si>
    <r>
      <t xml:space="preserve"> %</t>
    </r>
    <r>
      <rPr>
        <sz val="10"/>
        <rFont val="Times New Roman"/>
        <family val="1"/>
      </rPr>
      <t xml:space="preserve">o </t>
    </r>
  </si>
  <si>
    <t>Doanh nghiệp</t>
  </si>
  <si>
    <t xml:space="preserve">    - Doanh nghiệp 100% vốn nhà nước</t>
  </si>
  <si>
    <t xml:space="preserve">    - Doanh nghiệp &gt; 50% vốn nhà nước</t>
  </si>
  <si>
    <t>Tỉnh, thành phố…………</t>
  </si>
  <si>
    <t xml:space="preserve">- Số lượt khách quốc tế đến địa phương </t>
  </si>
  <si>
    <t xml:space="preserve">                                                                                                                                                                                                   Tỉnh, thành phố…………</t>
  </si>
  <si>
    <t xml:space="preserve">Ghi chú: (*) Ghi rõ đạt hay không đạt kế hoạch </t>
  </si>
  <si>
    <t>So với GDP theo chỉ tiêu Đại hội Đảng các cấp</t>
  </si>
  <si>
    <t>So với GRDP theo quy đổi theo Chỉ thị số 22/CT-TTg</t>
  </si>
  <si>
    <t>Doanh nghiệp nhà nước</t>
  </si>
  <si>
    <t>Số doanh nghiệp nhà nước đang hoạt động</t>
  </si>
  <si>
    <t>Số doanh nghiệp nhà nước cổ phần hóa</t>
  </si>
  <si>
    <t>Số doanh nghiệp nhà nước thực hiện hình thức sắp xếp khác (Thoái vốn, giao bán, hợp nhất, giải thể, phá sản)</t>
  </si>
  <si>
    <t>Tổng vốn chủ sở hữu tại doanh nghiệp</t>
  </si>
  <si>
    <t>Tổng vốn điều lệ</t>
  </si>
  <si>
    <t>Đóng góp ngân sách</t>
  </si>
  <si>
    <t>Tổng doanh thu</t>
  </si>
  <si>
    <t>Tổng lợi nhuận</t>
  </si>
  <si>
    <t>Tổng nợ phải trả</t>
  </si>
  <si>
    <t>Doanh nghiệp ngoài nhà nước</t>
  </si>
  <si>
    <t>Số doanh nghiệp ngoài nhà nước đang hoạt động lũy kế đến kỳ báo cáo</t>
  </si>
  <si>
    <t>Số DN kinh doanh có lãi</t>
  </si>
  <si>
    <t>Số lao động trong doanh nghiệp</t>
  </si>
  <si>
    <t>Thu nhập bình quân người lao động</t>
  </si>
  <si>
    <t>Tổng vốn đầu tư thực hiện</t>
  </si>
  <si>
    <t>Doanh thu thuần</t>
  </si>
  <si>
    <t>Lợi nhuận trước thuế</t>
  </si>
  <si>
    <t>Đóng góp ngân sách nhà nước</t>
  </si>
  <si>
    <t>Tổng ngân sách thực hiện các chương trình hỗ trợ doanh nghiệp nhỏ và vừa trên địa bàn</t>
  </si>
  <si>
    <t>- Tỷ lệ tăng dân số (năm cuối kỳ)</t>
  </si>
  <si>
    <t>Tỷ suất chết của người mẹ trong thời gian thai sản trên 100.000 trẻ đẻ sống</t>
  </si>
  <si>
    <t>- Số giường bệnh quốc lập/ 1 vạn dân</t>
  </si>
  <si>
    <t>- Số giường bệnh tư/ 1 vạn dân</t>
  </si>
  <si>
    <t>Tỷ lệ xã đạt chuẩn quốc gia về y tế</t>
  </si>
  <si>
    <t>- Số lượt khách du lịch nội địa đến địa phương</t>
  </si>
  <si>
    <r>
      <t xml:space="preserve">So với mục tiêu kế hoạch, NQ  giai đoạn 2011-2015 
</t>
    </r>
    <r>
      <rPr>
        <sz val="13"/>
        <rFont val="Times New Roman"/>
        <family val="1"/>
      </rPr>
      <t>(*)</t>
    </r>
  </si>
  <si>
    <t>Chỉ tiêu về kinh tế</t>
  </si>
  <si>
    <t>Giá trị sản xuất (giá hiện hành)</t>
  </si>
  <si>
    <t xml:space="preserve"> - Nông, lâm, ngư nghiệp</t>
  </si>
  <si>
    <t xml:space="preserve"> - Công nghiệp, xây dựng</t>
  </si>
  <si>
    <t xml:space="preserve"> Trong đó: Công nghiệp</t>
  </si>
  <si>
    <t xml:space="preserve"> - Thương mại - dịch vụ</t>
  </si>
  <si>
    <t>Cơ cấu tổng giá trị gia tăng theo ngành kinh tế (giá trị HH)</t>
  </si>
  <si>
    <t>Tổng mức hàng hoá bán lẽ trên địa bàn</t>
  </si>
  <si>
    <t>1.000ha</t>
  </si>
  <si>
    <t>1.000tấn</t>
  </si>
  <si>
    <t>lần</t>
  </si>
  <si>
    <t>Ngân sách tỉnh bổ sung cho ngân sách địa phương</t>
  </si>
  <si>
    <t>Chi ngân sách địa phương</t>
  </si>
  <si>
    <t>a</t>
  </si>
  <si>
    <t>Chi đầu tư phát triển do địa phương quản lý</t>
  </si>
  <si>
    <t xml:space="preserve"> - Vốn cân đối ngân sách địa phương</t>
  </si>
  <si>
    <t xml:space="preserve"> Trong đó: Đầu tư nguồn sử dụng đất</t>
  </si>
  <si>
    <t>b</t>
  </si>
  <si>
    <t>Chi thường xuyên, dự phòng, QL qua NS</t>
  </si>
  <si>
    <t>Tổng vốn đầu tư phát triển trên địa bàn</t>
  </si>
  <si>
    <t xml:space="preserve"> Trong đó: - Tỉnh quản lý</t>
  </si>
  <si>
    <t xml:space="preserve">                  - Địa phương quản lý</t>
  </si>
  <si>
    <t>Phát triển cơ sở hạ tầng</t>
  </si>
  <si>
    <t xml:space="preserve"> - Vận động nhân dân phấn đấu BT hoá đường GTNT</t>
  </si>
  <si>
    <t>km</t>
  </si>
  <si>
    <t xml:space="preserve"> - Nhựa hoá đường huyện phấu đấu</t>
  </si>
  <si>
    <t xml:space="preserve"> - Tỷ lệ bon, buôn có 1-2km đường nhựa</t>
  </si>
  <si>
    <t xml:space="preserve"> - Đáp ứng nguồn nước tưới cho diện tích cây trồng có nhu cầu tưới</t>
  </si>
  <si>
    <t>Cấp giấy chứng nhận quyền sử dụng đất</t>
  </si>
  <si>
    <t>ha</t>
  </si>
  <si>
    <t>Chỉ tiêu xã hội - môi trường</t>
  </si>
  <si>
    <t>Dân số trung bình</t>
  </si>
  <si>
    <t xml:space="preserve"> - Tỷ lệ tăng dân số tự nhiên</t>
  </si>
  <si>
    <t xml:space="preserve"> - Tỷ lệ giảm sinh</t>
  </si>
  <si>
    <t xml:space="preserve"> - Tuổi thọ trung bình</t>
  </si>
  <si>
    <t>Giáo dục</t>
  </si>
  <si>
    <t xml:space="preserve"> - TL phổ cập THCS xã, phường</t>
  </si>
  <si>
    <t>trường</t>
  </si>
  <si>
    <t xml:space="preserve"> - Phấn đấu số trường đạt chuẩn quốc gia mức độ 2</t>
  </si>
  <si>
    <t xml:space="preserve"> - Tỷ lệ trẻ em 5 tuổi đi học mẫu giáo</t>
  </si>
  <si>
    <t xml:space="preserve"> - Số xã phổ cập mầm non 5 tuổi</t>
  </si>
  <si>
    <t>xã</t>
  </si>
  <si>
    <t xml:space="preserve"> - Tỷ lệ xã, thị trấn có trạm y tế</t>
  </si>
  <si>
    <t xml:space="preserve"> - Số giường bệnh/vạn dân</t>
  </si>
  <si>
    <t>Giường</t>
  </si>
  <si>
    <t xml:space="preserve"> - Số bác sỹ/vạn dân</t>
  </si>
  <si>
    <t>Bác sỹ</t>
  </si>
  <si>
    <t xml:space="preserve"> - Tỷ lệ trạm y tế có bác sỹ (không kể BS điều dưỡng)</t>
  </si>
  <si>
    <t xml:space="preserve"> - Tỷ lệ tiêm chủng mở rộng cho trẻ em</t>
  </si>
  <si>
    <t xml:space="preserve"> - Tỷ lệ suy dinh dưỡng của trẻ em dưới 5 tuổi</t>
  </si>
  <si>
    <t xml:space="preserve"> - Tỷ lệ người dân tham gia bảo hiểm y tế</t>
  </si>
  <si>
    <t>Việc làm</t>
  </si>
  <si>
    <t>Văn hoá phát thanh truyền hình</t>
  </si>
  <si>
    <t xml:space="preserve"> - Tỷ lệ xã có đài truyền thanh cơ sở</t>
  </si>
  <si>
    <t xml:space="preserve"> - Tỷ lệ hộ gia đình đạt danh hiệu văn hoá</t>
  </si>
  <si>
    <t xml:space="preserve"> - Tỷ lệ thôn, bon, tổ dân phố văn hoá</t>
  </si>
  <si>
    <t xml:space="preserve"> - Tỷ lệ xã, phường, thị trấn văn hoá</t>
  </si>
  <si>
    <t xml:space="preserve"> - Tỷ lệ cơ quan văn hoá</t>
  </si>
  <si>
    <t xml:space="preserve"> - Tỷ lệ bon, buôn có nhà sinh hoạt văn hoá cộng đồng</t>
  </si>
  <si>
    <t xml:space="preserve"> - Phủ sóng truyền hình bon, buôn</t>
  </si>
  <si>
    <t>Giảm nghèo</t>
  </si>
  <si>
    <t>Tỷ lệ được sử dụng điện</t>
  </si>
  <si>
    <t xml:space="preserve"> - Tỷ lệ hộ sử dụng điện</t>
  </si>
  <si>
    <t xml:space="preserve"> - Tỷ lệ thôn, buôn, bon có điện lưới quốc gia</t>
  </si>
  <si>
    <t>Tỷ lệ hộ được sử dụng nước hợp vệ sinh</t>
  </si>
  <si>
    <t>Chỉ tiêu môi trường</t>
  </si>
  <si>
    <t xml:space="preserve"> Tỷ lệ chất thải rắn ở đô thị được thu gom</t>
  </si>
  <si>
    <t xml:space="preserve">Tổng đàn gia súc  </t>
  </si>
  <si>
    <t>1000con</t>
  </si>
  <si>
    <t>Tổng đàn gia cầm</t>
  </si>
  <si>
    <t xml:space="preserve"> Tổng số bê lai sinh ra trong năm</t>
  </si>
  <si>
    <t>con</t>
  </si>
  <si>
    <t>Chỉ tiêu bảo vệ rừng</t>
  </si>
  <si>
    <t xml:space="preserve"> Tỷ lệ che phủ rừng</t>
  </si>
  <si>
    <t xml:space="preserve"> Vận động phát triển rừng</t>
  </si>
  <si>
    <t xml:space="preserve"> Vận động nhân dân trồng mới cao su</t>
  </si>
  <si>
    <t xml:space="preserve"> Vận động nhân dân trồng mới ca cao</t>
  </si>
  <si>
    <t xml:space="preserve"> -  Huy động trẻ em trong độ tuổi đi học mẫu giáo</t>
  </si>
  <si>
    <t xml:space="preserve"> - Số thuê bao điện thoại/100dân</t>
  </si>
  <si>
    <t>Thuê bao</t>
  </si>
  <si>
    <t xml:space="preserve"> - Số thuê bao intenet băng thông rộng/100dân</t>
  </si>
  <si>
    <t>Nhà ở</t>
  </si>
  <si>
    <t xml:space="preserve"> Diện tích nhà ở bình quân sàn/người</t>
  </si>
  <si>
    <t xml:space="preserve"> Trong đó: -Diện tích nhà ở binh quân tại đô thị</t>
  </si>
  <si>
    <t xml:space="preserve">                   - Diện tích nhà ở BQ ở nông thôn</t>
  </si>
  <si>
    <t>m2</t>
  </si>
  <si>
    <t xml:space="preserve">Chỉ tiêu Chăn nuôi </t>
  </si>
  <si>
    <t xml:space="preserve">Tiêu chí về nông thôn mới  </t>
  </si>
  <si>
    <t>Xã đạt chuẩn quốc gia về nông thôn mới</t>
  </si>
  <si>
    <t>Tỷ lệ dân số thành thị được cung cấp nước sạch</t>
  </si>
  <si>
    <t>Tỷ lệ xử lý chất thải rắn y tế đạt tiêu chuẩn</t>
  </si>
  <si>
    <t xml:space="preserve"> Tỷ lệ xử lý triệt để cơ sở gây ô nhiệm môi trường nghiêm trọng</t>
  </si>
  <si>
    <t>Huyện Krông Nô</t>
  </si>
  <si>
    <t xml:space="preserve"> Ngàn tấn </t>
  </si>
  <si>
    <t xml:space="preserve"> ha </t>
  </si>
  <si>
    <t>HuyÖn Kr«ng N«</t>
  </si>
  <si>
    <r>
      <t>B</t>
    </r>
    <r>
      <rPr>
        <b/>
        <sz val="14"/>
        <rFont val=".VnTime"/>
        <family val="2"/>
      </rPr>
      <t xml:space="preserve">iÓu 2a:   </t>
    </r>
    <r>
      <rPr>
        <b/>
        <sz val="14"/>
        <rFont val=".VnTimeH"/>
        <family val="2"/>
      </rPr>
      <t>n«ng l©m nghiÖp, thuû s¶n</t>
    </r>
  </si>
  <si>
    <t>Tû ®ång</t>
  </si>
  <si>
    <t xml:space="preserve"> - N«ng nghiÖp</t>
  </si>
  <si>
    <t xml:space="preserve">          + Trång trät</t>
  </si>
  <si>
    <t xml:space="preserve">          + Ch¨n nu«i</t>
  </si>
  <si>
    <t xml:space="preserve"> - Thuû s¶n</t>
  </si>
  <si>
    <t xml:space="preserve"> - L©m nghiÖp</t>
  </si>
  <si>
    <t xml:space="preserve">     + Trång trät</t>
  </si>
  <si>
    <t xml:space="preserve">     + Ch¨n nu«i</t>
  </si>
  <si>
    <t>1. N«ng nghiÖp</t>
  </si>
  <si>
    <t>Tæng diÖn tÝch gieo trång</t>
  </si>
  <si>
    <t xml:space="preserve"> a. Trång trät</t>
  </si>
  <si>
    <t xml:space="preserve"> - DiÖn tÝch c©y l­¬ng thùc</t>
  </si>
  <si>
    <t>1000ha</t>
  </si>
  <si>
    <t xml:space="preserve">  + Lóa</t>
  </si>
  <si>
    <t xml:space="preserve">  + Ng«</t>
  </si>
  <si>
    <t xml:space="preserve"> - S¶n l­îng l­¬ng thùc </t>
  </si>
  <si>
    <t>1000tÊn</t>
  </si>
  <si>
    <t xml:space="preserve"> - S¶n l­îng l­¬ng thùc/ng­êi</t>
  </si>
  <si>
    <t>TÊn/n¨m</t>
  </si>
  <si>
    <t xml:space="preserve">  + S¶n l­îng thãc</t>
  </si>
  <si>
    <t xml:space="preserve">  + S¶n l­îng ng«</t>
  </si>
  <si>
    <t xml:space="preserve"> * C©y c«ng nghiÖp chñ yÕu</t>
  </si>
  <si>
    <t xml:space="preserve">                  + S¶n l­îng</t>
  </si>
  <si>
    <t xml:space="preserve">                             + S¶n l­îng</t>
  </si>
  <si>
    <t xml:space="preserve">   - §Ëu Xanh</t>
  </si>
  <si>
    <t xml:space="preserve">                             + DiÖn tÝch</t>
  </si>
  <si>
    <t xml:space="preserve">   - §Ëu c¸c lo¹i</t>
  </si>
  <si>
    <t xml:space="preserve">   - Rau c¸c lo¹i</t>
  </si>
  <si>
    <t xml:space="preserve">   - §Ëu phông      </t>
  </si>
  <si>
    <t xml:space="preserve">   - Cµ phª</t>
  </si>
  <si>
    <t xml:space="preserve">      + DiÖn tÝch</t>
  </si>
  <si>
    <t xml:space="preserve">      + S¶n l­îng</t>
  </si>
  <si>
    <t xml:space="preserve">   + DiÖn tÝch</t>
  </si>
  <si>
    <t xml:space="preserve">   + S¶n l­îng</t>
  </si>
  <si>
    <t xml:space="preserve"> - §iÒu</t>
  </si>
  <si>
    <t xml:space="preserve"> - C©y Tiªu</t>
  </si>
  <si>
    <t xml:space="preserve"> C©y ¨n qu¶</t>
  </si>
  <si>
    <t>b. Ch¨n nu«i</t>
  </si>
  <si>
    <t xml:space="preserve"> - Gia cÇm</t>
  </si>
  <si>
    <t>Tr. con</t>
  </si>
  <si>
    <t xml:space="preserve"> - ThÞt h¬i c¸c lo¹i</t>
  </si>
  <si>
    <t>2. Thuû s¶n</t>
  </si>
  <si>
    <t>S¶n l­îng thuû s¶n</t>
  </si>
  <si>
    <t xml:space="preserve">   Trong ®ã: s¶n l­îng nu«i trång</t>
  </si>
  <si>
    <t>1000 tÊn</t>
  </si>
  <si>
    <t>DiÖn tÝch nu«i trång thuû s¶n</t>
  </si>
  <si>
    <t>1000 ha</t>
  </si>
  <si>
    <t>3. L©m nghiÖp</t>
  </si>
  <si>
    <t>- Khai th¸c l©m nghiÖp</t>
  </si>
  <si>
    <t>1000m3</t>
  </si>
  <si>
    <t>I. C¬ cÊu gi¸ trÞ s¶n xuÊt (gi¸  hiện hành)</t>
  </si>
  <si>
    <t>II. GTTT n«ng, l©m, ng­ nghiÖp</t>
  </si>
  <si>
    <t>III. s¶n phÈm chñ yÕu</t>
  </si>
  <si>
    <t>Toång dieän tích gieo troàng</t>
  </si>
  <si>
    <t>Hệ số sử dụng đất cây hàng năm</t>
  </si>
  <si>
    <t>I/ Cây lương thực</t>
  </si>
  <si>
    <t>*Toång SL löông thöïc</t>
  </si>
  <si>
    <t>Taán</t>
  </si>
  <si>
    <t>Thoùc</t>
  </si>
  <si>
    <t>Ngoâ</t>
  </si>
  <si>
    <t xml:space="preserve"> * Toång dieän tích</t>
  </si>
  <si>
    <t>*Cây lúa, trong đó:</t>
  </si>
  <si>
    <t xml:space="preserve"> 1. Luùa nöôùc Ñoâng Xuaân      </t>
  </si>
  <si>
    <t>Dieän tích</t>
  </si>
  <si>
    <t>Naêng suaát</t>
  </si>
  <si>
    <t>Taán/ha</t>
  </si>
  <si>
    <t>Saûn löôïng</t>
  </si>
  <si>
    <t xml:space="preserve"> 2. Luùa heø Thu                      </t>
  </si>
  <si>
    <t xml:space="preserve"> 3. Lúa thu đông</t>
  </si>
  <si>
    <t>Thủy lợi Đrồ</t>
  </si>
  <si>
    <t>Diện tích</t>
  </si>
  <si>
    <t>kênh</t>
  </si>
  <si>
    <t>Năng suất</t>
  </si>
  <si>
    <t>Tấn/ha</t>
  </si>
  <si>
    <t>TL Đ. Rền</t>
  </si>
  <si>
    <t>Sản lượng</t>
  </si>
  <si>
    <t>Tấn</t>
  </si>
  <si>
    <t>Tăng vụ</t>
  </si>
  <si>
    <t xml:space="preserve"> 4. Luùa raãy                 </t>
  </si>
  <si>
    <t>K.Tiêu</t>
  </si>
  <si>
    <t>*Cây ngô, trong đó:</t>
  </si>
  <si>
    <t xml:space="preserve"> 5. Caây ngoâ Ñoâng Xuaân</t>
  </si>
  <si>
    <t xml:space="preserve"> 6. Caây ngoâ   Heø thu</t>
  </si>
  <si>
    <t xml:space="preserve"> 7. Caây ngoâ  Thu ñoâng    </t>
  </si>
  <si>
    <t xml:space="preserve"> II. Cây có củ</t>
  </si>
  <si>
    <t xml:space="preserve"> * Toång saûn löôïng</t>
  </si>
  <si>
    <t xml:space="preserve"> 1. Khoai lang                </t>
  </si>
  <si>
    <t xml:space="preserve"> 2. Caây saén                     </t>
  </si>
  <si>
    <t xml:space="preserve"> III. Caây thöïc phaåm</t>
  </si>
  <si>
    <t xml:space="preserve"> 1. Ñaäu xanh                  </t>
  </si>
  <si>
    <t xml:space="preserve"> 2. Ñaäu caùc loaïi          </t>
  </si>
  <si>
    <t xml:space="preserve"> 3. Rau caùc loaïi        </t>
  </si>
  <si>
    <t xml:space="preserve"> IV. Caây coâng nghieäp ngaén ngaøy</t>
  </si>
  <si>
    <t xml:space="preserve"> 1. Ñaäu naønh                    </t>
  </si>
  <si>
    <t xml:space="preserve"> 2. Ñaäu phuïng         </t>
  </si>
  <si>
    <t xml:space="preserve"> 3. Mía                                      </t>
  </si>
  <si>
    <t xml:space="preserve"> V.Caây CN daøi ngaøy</t>
  </si>
  <si>
    <t xml:space="preserve"> 1. Caø feâ                                    </t>
  </si>
  <si>
    <t>Troàng môùi</t>
  </si>
  <si>
    <t>Dieän tích KD</t>
  </si>
  <si>
    <t>Naêng suaát( Ñoái vôùi DT KD)</t>
  </si>
  <si>
    <t xml:space="preserve"> 2. Hoà tieâu                                   </t>
  </si>
  <si>
    <t xml:space="preserve"> 3. Cao su                                 </t>
  </si>
  <si>
    <t xml:space="preserve"> 4. Ñieàu                                </t>
  </si>
  <si>
    <t xml:space="preserve"> 5. Caây ca cao</t>
  </si>
  <si>
    <t xml:space="preserve"> 6. Caây aên quaû                    </t>
  </si>
  <si>
    <t>CHĂN NUÔI</t>
  </si>
  <si>
    <t>Tổng đàn gia súc</t>
  </si>
  <si>
    <t xml:space="preserve">Tổng đàn Trâu </t>
  </si>
  <si>
    <t>Tổng đàn Bò</t>
  </si>
  <si>
    <t>Tổng đàn Dê</t>
  </si>
  <si>
    <t>Tổng đàn Lợn</t>
  </si>
  <si>
    <t>Tổng đàn Gia cầm</t>
  </si>
  <si>
    <t>Sản lượng thịt hơi</t>
  </si>
  <si>
    <t>1000tấn</t>
  </si>
  <si>
    <t>THỦY SẢN</t>
  </si>
  <si>
    <t>Diện tích nuôi TS</t>
  </si>
  <si>
    <t>Sản lượng thủy sản</t>
  </si>
  <si>
    <t>1000 tấn</t>
  </si>
  <si>
    <t>Trong đó: Đánh bắt</t>
  </si>
  <si>
    <t>Diện tích (ha)</t>
  </si>
  <si>
    <t xml:space="preserve">    Giá trị xây dựng </t>
  </si>
  <si>
    <t xml:space="preserve">   Tổng giá trị công nghiệp</t>
  </si>
  <si>
    <t xml:space="preserve">    Sản phẩm chủ yếu</t>
  </si>
  <si>
    <t>- Thủy điện Buôn Tura</t>
  </si>
  <si>
    <t>Tr.kwh</t>
  </si>
  <si>
    <t>- Đá xây dựng các loại</t>
  </si>
  <si>
    <t>1000 m3</t>
  </si>
  <si>
    <t>- Cát xây dựng</t>
  </si>
  <si>
    <t>- Gạch các loại</t>
  </si>
  <si>
    <t>Triệu viên</t>
  </si>
  <si>
    <t>- Thức ăn gia súc</t>
  </si>
  <si>
    <t>- Xay xát lương thực</t>
  </si>
  <si>
    <t>- Cà phê bột</t>
  </si>
  <si>
    <t>- Ống nước nhựa</t>
  </si>
  <si>
    <t xml:space="preserve">- Gia công may mặc </t>
  </si>
  <si>
    <t xml:space="preserve">1000 Sp </t>
  </si>
  <si>
    <t>- Phân vi sinh</t>
  </si>
  <si>
    <t>- Gỗ xẻ các loại</t>
  </si>
  <si>
    <t>- Cửa sắt, nhôm, kính các loại</t>
  </si>
  <si>
    <t>1000 m2</t>
  </si>
  <si>
    <t>- Nước máy ghi thu</t>
  </si>
  <si>
    <t>- Mộc dân dụng</t>
  </si>
  <si>
    <t>1000 Bộ</t>
  </si>
  <si>
    <t xml:space="preserve">- Chế biến Gạo </t>
  </si>
  <si>
    <t>- Chế biến mũ cao su</t>
  </si>
  <si>
    <t>tấn</t>
  </si>
  <si>
    <t>- Nước đóng chai</t>
  </si>
  <si>
    <t>1000 lít</t>
  </si>
  <si>
    <t>1. Giá trị công nghiệp, xây dựng theo giá hiện hành</t>
  </si>
  <si>
    <t xml:space="preserve"> Tổng mức bán lẻ hàng hoá và doanh thu dịch vụ tiêu dùng</t>
  </si>
  <si>
    <t>Giá trị ngành thương mại, DV tăng thêm (theo giá HH)</t>
  </si>
  <si>
    <t>XOÁ ĐÓI  GIẢM  NGHÈO</t>
  </si>
  <si>
    <t>Số hộ nghèo theo chuẩn quốc gia</t>
  </si>
  <si>
    <t xml:space="preserve">hộ </t>
  </si>
  <si>
    <t xml:space="preserve"> -Tæng sè x·</t>
  </si>
  <si>
    <t xml:space="preserve">   + Tæng sè x· nghÌo</t>
  </si>
  <si>
    <t xml:space="preserve"> - Sè x· cã ®­êng « t« ®Õn trung t©m x·</t>
  </si>
  <si>
    <t xml:space="preserve">   + Tû lÖ x· cã ®­êng « t« ®Õn trung t©m x·</t>
  </si>
  <si>
    <t xml:space="preserve"> - Sè x· cã tr¹m y tÕ x·</t>
  </si>
  <si>
    <t xml:space="preserve">   + Tû lÖ x· cã tr¹m y tÕ x·</t>
  </si>
  <si>
    <t xml:space="preserve"> - Sè x· cã tr­êng tiÓu häc, nhµ trÎ, líp mÉu gi¸o</t>
  </si>
  <si>
    <t xml:space="preserve">   + Tû lÖ x· nghÌo cã tr­êng tiÓu häc, nhµ trÎ, mÉu gi¸o</t>
  </si>
  <si>
    <t xml:space="preserve"> - Sè x· cã ®iÖn</t>
  </si>
  <si>
    <t>- Tû lÖ sè hé ®­îc sö dông ®iÖn</t>
  </si>
  <si>
    <t xml:space="preserve"> Trong ®ã:</t>
  </si>
  <si>
    <t xml:space="preserve"> + Khu vùc thµnh thÞ</t>
  </si>
  <si>
    <t xml:space="preserve"> + Khu vùc n«ng th«n</t>
  </si>
  <si>
    <t xml:space="preserve"> - Sè x· cã chî x·/liªn x·</t>
  </si>
  <si>
    <t>x·</t>
  </si>
  <si>
    <t xml:space="preserve">  +Tû lÖ x· cã chî x·/liªn x·</t>
  </si>
  <si>
    <t xml:space="preserve"> Cung cÊp c¸c dÞch vô c¬ së h¹ tÇng thiÕt yÕu cho c¸c x· ®Æc biÖt khã kh¨n vµ ng­êi nghÌo</t>
  </si>
  <si>
    <t>V</t>
  </si>
  <si>
    <t>Ng­êi</t>
  </si>
  <si>
    <t>- Sè hé ®­îc vay vèn t¹o viÖc lµm</t>
  </si>
  <si>
    <t>Hé</t>
  </si>
  <si>
    <t xml:space="preserve">  + Trong ®ã: Hé nghÌo</t>
  </si>
  <si>
    <t>- Sè lao ®éng ®­îc ®µo t¹o trong n¨m</t>
  </si>
  <si>
    <t xml:space="preserve"> Trong ®ã: -  NghÒ n«ng nghiÖp</t>
  </si>
  <si>
    <t xml:space="preserve">                -  C¸c nghÒ kh¸c</t>
  </si>
  <si>
    <t>Tû lÖ sè tr­êng ®¹t chuÈn quèc gia</t>
  </si>
  <si>
    <t>Ngh.ng­êi</t>
  </si>
  <si>
    <t>Sè lao ®éng thiÕu viÖc lµm ë n«ng th«n</t>
  </si>
  <si>
    <t>Sè ch¸u ®i häc nhµ trÎ</t>
  </si>
  <si>
    <t>Sè häc sinh mÉu gi¸o</t>
  </si>
  <si>
    <t>Sè häc sinh tiÓu häc</t>
  </si>
  <si>
    <t>Sè häc sinh  trung häc c¬ së</t>
  </si>
  <si>
    <t>Sè häc sinh  trung häc phæ th«ng</t>
  </si>
  <si>
    <t>§µo t¹o sau ®¹i häc</t>
  </si>
  <si>
    <t>§µo t¹o l¹i, båi d­ìng</t>
  </si>
  <si>
    <t>Tû lÖ ng­êi biÕt ®äc, biÕt viÕt</t>
  </si>
  <si>
    <t>Thu ngân sách trên địa bàn</t>
  </si>
  <si>
    <t xml:space="preserve"> -Doanh thu ngành du lịch</t>
  </si>
  <si>
    <t>Dịch vụ tín dụng, ngân hàng</t>
  </si>
  <si>
    <t xml:space="preserve"> X· phæ cËp trung häc c¬ së</t>
  </si>
  <si>
    <t xml:space="preserve"> Tû lÖ trÎ em trong ®é tuæi ®i häc mÉu gi¸o</t>
  </si>
  <si>
    <t>Nghin người</t>
  </si>
  <si>
    <t xml:space="preserve">  Lực lượng lao động từ 15 tuổi trở lên</t>
  </si>
  <si>
    <t>Số người trong độ tuổi lao động (từ 15 tuổi trở lên)</t>
  </si>
  <si>
    <t>Số giờ phát sóng tỉnh+tiếp sóng đài TW</t>
  </si>
  <si>
    <t>giờ/năm</t>
  </si>
  <si>
    <t>Số giờ phát sóng truyền hình đài tỉnh+tiếp sóng đài TW</t>
  </si>
  <si>
    <t>Số giờ phát chương trình đài truyền hình của huyện</t>
  </si>
  <si>
    <t>Số giờ phát chương trình đài truyền thanh của huyện</t>
  </si>
  <si>
    <t>Tỷ lệ xã, thị trấn có nhà văn hoá</t>
  </si>
  <si>
    <t>Tỷ lệ số hộ xem được truyền hình</t>
  </si>
  <si>
    <t>Tỷ lệ số hộ được nghe đài tiếng nói VN</t>
  </si>
  <si>
    <t xml:space="preserve"> Tổng số hộ </t>
  </si>
  <si>
    <t>Trong đó: Hộ đồng bào dân tộc thiểu số</t>
  </si>
  <si>
    <t>- Tỷ lệ thất nghiệp khu vực thành thị</t>
  </si>
  <si>
    <t xml:space="preserve">    + Trong đó: tỷ lệ nữ thất nghiệp ở khu vực thành thị</t>
  </si>
  <si>
    <t>- Tỷ lệ thiếu việc làm khu vực nông thôn</t>
  </si>
  <si>
    <t xml:space="preserve">    + Trong đó: tỷ lệ nữ thiếu việc làm khu vực nông thôn</t>
  </si>
  <si>
    <t>Thực hiện 2011-2015</t>
  </si>
  <si>
    <t>KH 2016</t>
  </si>
  <si>
    <t>KH 2017</t>
  </si>
  <si>
    <t>KH 2018</t>
  </si>
  <si>
    <t>KH 2019</t>
  </si>
  <si>
    <t>KH 2020</t>
  </si>
  <si>
    <t>Mục tiêu kế hoạch 5 năm 2016-2020</t>
  </si>
  <si>
    <t>Thực hiện
 2011-2015</t>
  </si>
  <si>
    <t xml:space="preserve">2016-2020  </t>
  </si>
  <si>
    <t>2016-2020</t>
  </si>
  <si>
    <t>PHỤ LỤC II</t>
  </si>
  <si>
    <t>NĂNG LỰC TĂNG THÊM NGÀNH CÔNG NGHIỆP 5 NĂM 2016 - 2020</t>
  </si>
  <si>
    <t>Tổng công suất đến hết năm 2020</t>
  </si>
  <si>
    <t>Công suất tăng thêm giai đoạn 2016-2020</t>
  </si>
  <si>
    <t xml:space="preserve">KẾ HOẠCH NGÀNH NÔNG, LÂM NGHIỆP VÀ THỦY SẢN 5 NĂM 2016-2020
</t>
  </si>
  <si>
    <t>BIỂU 2b:  KẾ HOẠCH SẢN XUẤT NÔNG NGHIỆP GIAI ĐOẠN 2016 - 2020</t>
  </si>
  <si>
    <t>Biểu mẫu số 3</t>
  </si>
  <si>
    <t>KẾ HOẠCH NGÀNH CÔNG NGHIỆP 5 NĂM 2016 - 2020</t>
  </si>
  <si>
    <t xml:space="preserve"> KẾ HOẠCH NGÀNH TM-DỊCH VỤ 5 NĂM 2016-2020</t>
  </si>
  <si>
    <t>Biểu mẫu số 7</t>
  </si>
  <si>
    <t>KẾ HOẠCH GIÁO DỤC, ĐÀO TẠO VÀ KHOA HỌC CÔNG NGHỆ 5 NĂM 2016 - 2020</t>
  </si>
  <si>
    <t xml:space="preserve"> KẾ HOẠCH CÁC LĨNH VỰC XÃ HỘI 5 NĂM 2016-2020</t>
  </si>
  <si>
    <t>KẾ HOẠCH VỐN ĐẦU TƯ PHÁT TRIỂN TOÀN XÃ HỘI 5 NĂM 2016 - 2020 THEO NGUỒN VỐN</t>
  </si>
  <si>
    <r>
      <t xml:space="preserve">Vốn đầu tư trực tiếp nước ngoài </t>
    </r>
    <r>
      <rPr>
        <b/>
        <vertAlign val="superscript"/>
        <sz val="13"/>
        <rFont val="Times New Roman"/>
        <family val="1"/>
      </rPr>
      <t>(*)</t>
    </r>
  </si>
  <si>
    <t>Ghi chú: (*) Đầu tư trực tiếp nước ngoài là phần vốn góp của nhà đầu tư nước ngoài.</t>
  </si>
  <si>
    <t>KẾ HOẠCH ĐẦU TƯ NGUỒN NGÂN SÁCH NHÀ NƯỚC VÀ TRÁI PHIẾU CHÍNH PHỦ
PHÂN THEO NGÀNH, LĨNH VỰC 5 NĂM 2016 - 2020</t>
  </si>
  <si>
    <t xml:space="preserve">CÂN ĐỐI NGÂN SÁCH NHÀ NƯỚC 5 NĂM 2016 - 2020
</t>
  </si>
  <si>
    <t>ĐĂNG KÝ THÀNH LẬP DOANH NGHIỆP 5 NĂM 2016 - 2020</t>
  </si>
  <si>
    <t>KẾ HOẠCH SẮP XẾP DOANH NGHIỆP NHÀ NƯỚC 
VÀ PHÁT TRIỂN DOANH NGHIỆP NGOÀI NHÀ NƯỚC 5 NĂM 2016 - 2020</t>
  </si>
  <si>
    <t xml:space="preserve">2016-2020   </t>
  </si>
  <si>
    <t>Biểu mẫu số 16</t>
  </si>
  <si>
    <t>KẾ HOẠCH PHÁT TRIỂN KINH TẾ TẬP THỂ 5 NĂM 2016-2020</t>
  </si>
  <si>
    <t>Mục tiêu KH 2016-2020</t>
  </si>
  <si>
    <t>Hợp tác xã</t>
  </si>
  <si>
    <t>Tổng số  hợp tác xã</t>
  </si>
  <si>
    <t>Số hợp tác xã thành lập mới</t>
  </si>
  <si>
    <t>Số hợp tác xã giải thể</t>
  </si>
  <si>
    <t>Tổng số thành viên hợp tác xã</t>
  </si>
  <si>
    <t>Tổng số lao động trong hợp tác xã</t>
  </si>
  <si>
    <r>
      <t xml:space="preserve">Trong đó: </t>
    </r>
    <r>
      <rPr>
        <sz val="14"/>
        <rFont val="Times New Roman"/>
        <family val="1"/>
      </rPr>
      <t>Số lao động là thành viên hợp tác xã</t>
    </r>
  </si>
  <si>
    <t>Liên hiệp hợp tác xã</t>
  </si>
  <si>
    <t>Tổng số liên hiệp hợp tác xã</t>
  </si>
  <si>
    <t>Số liên hiệp hợp tác xã thành lập mới</t>
  </si>
  <si>
    <t>Số liên hiệp hợp tác xã giải thể</t>
  </si>
  <si>
    <t>Tổng số hợp tác xã thành viên</t>
  </si>
  <si>
    <t xml:space="preserve">Tổng số lao động trong liên hiệp hợp tác xã </t>
  </si>
  <si>
    <t xml:space="preserve">Tổ hợp tác </t>
  </si>
  <si>
    <t>Tổng số tổ hợp tác</t>
  </si>
  <si>
    <t>Tổ hợp tác</t>
  </si>
  <si>
    <r>
      <t>Trong đó:</t>
    </r>
    <r>
      <rPr>
        <sz val="14"/>
        <rFont val="Times New Roman"/>
        <family val="1"/>
      </rPr>
      <t xml:space="preserve"> Số tổ hợp tác đăng ký chứng thực</t>
    </r>
  </si>
  <si>
    <t>Tổng số thành viên tổ hợp tác</t>
  </si>
  <si>
    <t>Thành viên</t>
  </si>
  <si>
    <r>
      <t>Trong đó:</t>
    </r>
    <r>
      <rPr>
        <sz val="14"/>
        <rFont val="Times New Roman"/>
        <family val="1"/>
      </rPr>
      <t xml:space="preserve"> Số thành viên của tổ hợp tác đăng ký chứng thực</t>
    </r>
  </si>
  <si>
    <t xml:space="preserve">Tổng số lao động trong tổ hợp tác </t>
  </si>
  <si>
    <t>Số lao động là thành viên tổ hợp tác</t>
  </si>
  <si>
    <t>Số lao động là thành viên của tổ hợp tác đăng ký chứng thực</t>
  </si>
  <si>
    <t xml:space="preserve">                                                                                                                                                                Tỉnh, thành phố…………</t>
  </si>
  <si>
    <t>Biểu mẫu số 15</t>
  </si>
  <si>
    <t>DỰ KIẾN KINH PHÍ XÂY DỰNG CÁC DỰ ÁN QUY HOẠCH TRÌNH CẤP CÓ THẨM QUYỀN PHÊ DUYỆT 5 NĂM 2016 - 2020</t>
  </si>
  <si>
    <t>Đơn vị: Triệu đồng</t>
  </si>
  <si>
    <t>Danh mục quy hoạch</t>
  </si>
  <si>
    <t>Kinh phí xây dựng quy hoạch</t>
  </si>
  <si>
    <t>Trong nước</t>
  </si>
  <si>
    <t>Nước ngoài</t>
  </si>
  <si>
    <t>- Dự án quy hoạch…</t>
  </si>
  <si>
    <t>Biểu mẫu số 1</t>
  </si>
  <si>
    <t>MỘT SỐ CHỈ TIÊU CHỦ YẾU KẾ HOẠCH PHÁT TRIỂN KINH TẾ - XÃ HỘI 5 NĂM 2016-2020</t>
  </si>
  <si>
    <t xml:space="preserve"> - Nông, lâm nghiệp và thuỷ sản</t>
  </si>
  <si>
    <t xml:space="preserve"> - Công nghiệp và xây dựng</t>
  </si>
  <si>
    <t xml:space="preserve"> - Dịch vụ</t>
  </si>
  <si>
    <t xml:space="preserve">GRDP (giá hiện hành) </t>
  </si>
  <si>
    <t xml:space="preserve"> - GRDP theo VNĐ</t>
  </si>
  <si>
    <t xml:space="preserve"> Nghìn.tỷ đồng </t>
  </si>
  <si>
    <t xml:space="preserve"> - Tổng GRDP qui USD </t>
  </si>
  <si>
    <t xml:space="preserve"> Tỷ USD </t>
  </si>
  <si>
    <t xml:space="preserve"> - GRDP bình quân đầu người</t>
  </si>
  <si>
    <t xml:space="preserve"> USD </t>
  </si>
  <si>
    <t>Tổng vốn đầu tư toàn xã hội so GRDP</t>
  </si>
  <si>
    <t>Tỷ lệ nợ chính quyền địa phương so tổng chi NSNN</t>
  </si>
  <si>
    <t xml:space="preserve">Tổng sản phẩm trên địa bàn huyện(GRDP) </t>
  </si>
  <si>
    <t xml:space="preserve"> - Tổng diện tích chủ động tưới</t>
  </si>
  <si>
    <t>1.000 Tấn</t>
  </si>
  <si>
    <t>- Cán tôn</t>
  </si>
  <si>
    <t>1.000 m2</t>
  </si>
  <si>
    <t>1.000 tấn</t>
  </si>
  <si>
    <t xml:space="preserve"> - 'Puzoland xuất rời</t>
  </si>
  <si>
    <t xml:space="preserve"> - Xi măng PCB30 bao</t>
  </si>
  <si>
    <t xml:space="preserve"> - 'Xi măng PCB40 bao</t>
  </si>
  <si>
    <t xml:space="preserve"> - 'Xi măng PCB40 rời</t>
  </si>
  <si>
    <t>1.000Tấn</t>
  </si>
  <si>
    <t>Khối lượng vận chuyển hàng hóa</t>
  </si>
  <si>
    <t>Khối lượng vận chuyển hành khách</t>
  </si>
  <si>
    <t>Khối lượng luân chuyển hàng hóa</t>
  </si>
  <si>
    <t>Tr.Tấn.Km</t>
  </si>
  <si>
    <t>khối lượng luân chuyển hành khách</t>
  </si>
  <si>
    <t>Tr.HK.Km</t>
  </si>
  <si>
    <t>QUY HOẠCH DO CẤP TỈNH PHÊ DUYỆT</t>
  </si>
  <si>
    <t>Dự án quy hoạch điều chỉnh, bổ sung quy hoạch phát triển giao thông vận tải huyện Krông Nô đến năm 2030</t>
  </si>
  <si>
    <t>Dự án quy hoạch các điểm công nghiệp trên địa bàn huyện</t>
  </si>
  <si>
    <t>Quy hoạch cụm công nghiệp huyện Krông Nô, diện tích 50ha</t>
  </si>
  <si>
    <t>QUY HOẠCH DO HUYỆN PHÊ DUYỆT</t>
  </si>
  <si>
    <t xml:space="preserve">Nghìn lượt người </t>
  </si>
  <si>
    <t xml:space="preserve"> - MÝa</t>
  </si>
  <si>
    <t xml:space="preserve">                  + DiÖn tÝch</t>
  </si>
  <si>
    <t xml:space="preserve">   - S¾n  </t>
  </si>
  <si>
    <t xml:space="preserve">   - Khoai lang</t>
  </si>
  <si>
    <r>
      <t xml:space="preserve">   - §Ëu N</t>
    </r>
    <r>
      <rPr>
        <sz val="12"/>
        <rFont val="Times New Roman"/>
        <family val="1"/>
      </rPr>
      <t>à</t>
    </r>
    <r>
      <rPr>
        <sz val="12"/>
        <rFont val=".VnTime"/>
        <family val="2"/>
      </rPr>
      <t>nh</t>
    </r>
  </si>
  <si>
    <t xml:space="preserve">   - Ca cao</t>
  </si>
  <si>
    <t>- Phát triển rừng</t>
  </si>
  <si>
    <t>- Khoanh nuôi tái sinh</t>
  </si>
  <si>
    <t>- Nông lâm kết hợp</t>
  </si>
  <si>
    <t>- Tỷ lệ che phủ rừng (Không tính cao su)</t>
  </si>
  <si>
    <t>- Tỷ lệ che phủ rừng (Tính cao su)</t>
  </si>
  <si>
    <t>DIỆN TÍCH ĐẤT CÓ RỪNG VÀ ĐỘ CHE PHỦ ĐẾN NĂM 2020</t>
  </si>
  <si>
    <t>Năm 2015</t>
  </si>
  <si>
    <t>Năm 2016</t>
  </si>
  <si>
    <t>Năm 2017</t>
  </si>
  <si>
    <t>Năm 2018</t>
  </si>
  <si>
    <t>Năm 2019</t>
  </si>
  <si>
    <t>Năm 2020</t>
  </si>
  <si>
    <t>Đất có rừng</t>
  </si>
  <si>
    <t>Độ che phủ</t>
  </si>
  <si>
    <t>Độ che phủ (bao gồm cả cây cao su ngoài đất LN)</t>
  </si>
  <si>
    <t>KẾ HOẠCH PHÁT TRIỂN RỪNG GIAI ĐOẠN 2016 - 2020</t>
  </si>
  <si>
    <t>Tổng giai
 đoạn 2016 - 2020</t>
  </si>
  <si>
    <t>Tổng</t>
  </si>
  <si>
    <t>Trồng rừng
 tập trung</t>
  </si>
  <si>
    <t>Khoanh nuôi tái sinh</t>
  </si>
  <si>
    <t>Nông lâm kết hợp</t>
  </si>
  <si>
    <t>Công ty, doanh nghiệp</t>
  </si>
  <si>
    <t>Cty Đức Lập</t>
  </si>
  <si>
    <t>Địa
điểm</t>
  </si>
  <si>
    <t>TK
 1260</t>
  </si>
  <si>
    <t>TK 
1248, 1260</t>
  </si>
  <si>
    <t>Cty  Nam Nung</t>
  </si>
  <si>
    <t>TK
 1293</t>
  </si>
  <si>
    <t>TK 1294</t>
  </si>
  <si>
    <t>TK 
1294</t>
  </si>
  <si>
    <t>TK 
1297</t>
  </si>
  <si>
    <t>Cty Quảng Đức</t>
  </si>
  <si>
    <t>TK
1323</t>
  </si>
  <si>
    <t>TK 
1332</t>
  </si>
  <si>
    <t>TK 1336</t>
  </si>
  <si>
    <t>TK 
1333</t>
  </si>
  <si>
    <t>TK 
1336</t>
  </si>
  <si>
    <t>Cty Bảo Lâm</t>
  </si>
  <si>
    <t>TK
1275</t>
  </si>
  <si>
    <t>TK
1299</t>
  </si>
  <si>
    <t>TK
1283</t>
  </si>
  <si>
    <t>UBND các xã, thị trấn</t>
  </si>
  <si>
    <t>TT.Đăk Mâm</t>
  </si>
  <si>
    <t>TK
1258</t>
  </si>
  <si>
    <t>Xã Đăk Drô</t>
  </si>
  <si>
    <t>TK
1270</t>
  </si>
  <si>
    <t>Xã Nâm Nung</t>
  </si>
  <si>
    <t>Xã Nâm N'Dir</t>
  </si>
  <si>
    <t>TK
1282</t>
  </si>
  <si>
    <t>Xã Đăk Nang</t>
  </si>
  <si>
    <t>TK
1308</t>
  </si>
  <si>
    <t>TK
1312</t>
  </si>
  <si>
    <t>Xã Tân Thành</t>
  </si>
  <si>
    <t>TK
1269</t>
  </si>
  <si>
    <t>TK
1273</t>
  </si>
  <si>
    <t>Xã Đức Xuyên</t>
  </si>
  <si>
    <t>Xã Quảng Phú</t>
  </si>
  <si>
    <t>TK
1311</t>
  </si>
  <si>
    <t>TK
1317</t>
  </si>
  <si>
    <t>Xã Nam Đà</t>
  </si>
  <si>
    <t>TK
1254</t>
  </si>
  <si>
    <t>Cộng đồng Phú Lợi</t>
  </si>
  <si>
    <t>TK
1334</t>
  </si>
  <si>
    <t>Cộng đồng Bon Choih</t>
  </si>
  <si>
    <t>TK
1298</t>
  </si>
  <si>
    <t>Tổng cộng</t>
  </si>
  <si>
    <t xml:space="preserve">Phân theo phương thức </t>
  </si>
  <si>
    <t>- Trồng rừng tập trung</t>
  </si>
  <si>
    <t>Phân theo chức năng</t>
  </si>
  <si>
    <t>- Rừng phòng hộ</t>
  </si>
  <si>
    <t>- Rừng sản xuất</t>
  </si>
  <si>
    <t>KẾ HOẠCH KHAI THÁC GỖ GIAI ĐOẠN 2016 - 2020</t>
  </si>
  <si>
    <t>ĐVT: m3</t>
  </si>
  <si>
    <t>Hạng mục</t>
  </si>
  <si>
    <t>Gỗ rừng trồng</t>
  </si>
  <si>
    <t>Khối lượng</t>
  </si>
  <si>
    <t>Tæng diÖn tÝch rõng hiÖn cã (theo kÕt qu¶ kiÓm kª rõng năm 2014)</t>
  </si>
  <si>
    <t>(Trong ®ã trång rõng trong doanh nghiÖp)</t>
  </si>
  <si>
    <t xml:space="preserve"> </t>
  </si>
  <si>
    <t>4, Bí đỏ</t>
  </si>
  <si>
    <t xml:space="preserve">                         Nuôi trồng</t>
  </si>
  <si>
    <t>ĐVT</t>
  </si>
  <si>
    <t>Tăng</t>
  </si>
  <si>
    <t>giảm</t>
  </si>
  <si>
    <t>PHỤ LỤC I</t>
  </si>
  <si>
    <t>Thực hiện giai đoạn 2016-2020</t>
  </si>
  <si>
    <t>TH 2020 so với 2015</t>
  </si>
  <si>
    <t>TH 2015</t>
  </si>
  <si>
    <t>KH Năm 2016</t>
  </si>
  <si>
    <t>KH Năm 2017</t>
  </si>
  <si>
    <t>KH Năm 2018</t>
  </si>
  <si>
    <t>KH Năm 2019</t>
  </si>
  <si>
    <t>KH Năm 2020</t>
  </si>
  <si>
    <t>&lt;7</t>
  </si>
  <si>
    <t>&lt;22.5</t>
  </si>
  <si>
    <t>&lt;27.8</t>
  </si>
  <si>
    <t>&gt;90</t>
  </si>
  <si>
    <t xml:space="preserve">  - Tỷ lệ hộ đượcsử dụng nước hợp vệ sinh</t>
  </si>
  <si>
    <t xml:space="preserve"> - Số hộ dùng nước hợp vệ sinh</t>
  </si>
  <si>
    <t xml:space="preserve"> - Tû lÖ sè tr­êng ®¹t chuÈn quèc gia</t>
  </si>
  <si>
    <t xml:space="preserve">  Tỷ lệ hộ gia đình đạt danh hiệu văn hoá</t>
  </si>
  <si>
    <t xml:space="preserve">  Tỷ lệ thôn, bon, tổ dân phố văn hoá</t>
  </si>
  <si>
    <t xml:space="preserve">  Tỷ lệ xã, phường, thị trấn văn hoá</t>
  </si>
  <si>
    <t xml:space="preserve"> Tỷ lệ cơ quan văn hoá</t>
  </si>
  <si>
    <t xml:space="preserve">  Tỷ lệ bon, buôn có nhà sinh hoạt văn hoá cộng đồng</t>
  </si>
  <si>
    <t>điểm</t>
  </si>
  <si>
    <t xml:space="preserve">Điểm văn hoá vui chơi cho trẻ em </t>
  </si>
  <si>
    <t>2: 1 là thành lập mới năm 2013 HTX Tân Tiến, 1 là dự kiến 2015 1 xã có thành lập mới</t>
  </si>
  <si>
    <t>xã có HTX hđ bình thường</t>
  </si>
  <si>
    <t>xã có htxx hđ yếu</t>
  </si>
  <si>
    <t>xã chưa có htx</t>
  </si>
  <si>
    <t>B. Choah</t>
  </si>
  <si>
    <t>Đăk Sôr</t>
  </si>
  <si>
    <t>Nâm Nung</t>
  </si>
  <si>
    <t>Q. Phú</t>
  </si>
  <si>
    <t>Nam Đa</t>
  </si>
  <si>
    <t>Nâm  N'Đir</t>
  </si>
  <si>
    <t>T. Thành</t>
  </si>
  <si>
    <t>Đăk Nang</t>
  </si>
  <si>
    <t>Đăk Drô</t>
  </si>
  <si>
    <t>Đức Xuyên</t>
  </si>
  <si>
    <t>Nam Xuân</t>
  </si>
  <si>
    <t>PHỤ BIỂU 2 C : KẾ HOẠCH PHÁT TRIỂN RỪNG GIAI ĐOẠN 2016-2020 TRÊN ĐỊA BÀN HUYỆN KRÔNG NÔ</t>
  </si>
  <si>
    <t>Số lao động có việc làm</t>
  </si>
  <si>
    <t xml:space="preserve">  Tổng số người được giải quyết việc làm mới  trong năm</t>
  </si>
  <si>
    <t xml:space="preserve"> -Vé vào cổng</t>
  </si>
  <si>
    <t>30 ngan</t>
  </si>
  <si>
    <t xml:space="preserve"> - Dthu giu xe may (BQ 100 xe/ngày *365 ngày)</t>
  </si>
  <si>
    <t>5ngan</t>
  </si>
  <si>
    <t xml:space="preserve"> - Dthu xe ô tô con(BQ 4 xe/ngày *365ngày * 15ngàn</t>
  </si>
  <si>
    <t xml:space="preserve"> - Dthu xe ô tô trên 9 chỗ(BQ 4 xe/ngày *365ngày * 20ngàn</t>
  </si>
  <si>
    <t xml:space="preserve"> - Dtgu dịch vụ bán hàng, nhà hàng, quà lưu niện, gửi dồ, lưu trú, giải khát</t>
  </si>
  <si>
    <t>Dthu 1 ngày thường: 4.666.000đồng</t>
  </si>
  <si>
    <t xml:space="preserve"> - Trứng gia cầm</t>
  </si>
  <si>
    <t xml:space="preserve"> - Sản lượng sữa</t>
  </si>
  <si>
    <t>Triệu qủa</t>
  </si>
  <si>
    <t>Triệu lít</t>
  </si>
  <si>
    <t xml:space="preserve">                 Trứng gia cầm</t>
  </si>
  <si>
    <t xml:space="preserve">                 Sản lượng sữa</t>
  </si>
  <si>
    <t>Huyện Krông Nô</t>
  </si>
  <si>
    <t>Tû lÖ häc sinh ®i häc tiÓu häc ®óng tuæi</t>
  </si>
  <si>
    <t>Tû lÖ häc sinh ®i häc  THCS ®óng tuæi</t>
  </si>
  <si>
    <t xml:space="preserve"> - Tû lÖ häc sinh ®i häc tiÓu häc</t>
  </si>
  <si>
    <t>Các xã đạt từ 14-16 tiêu chí về nông thôn mới</t>
  </si>
  <si>
    <t>xã</t>
  </si>
  <si>
    <t>Các xã đạt từ 10-13 tiêu chí về nông thôn mới</t>
  </si>
  <si>
    <t xml:space="preserve"> - Tổng đàn gia súc</t>
  </si>
  <si>
    <t xml:space="preserve"> + §µn bß</t>
  </si>
  <si>
    <t xml:space="preserve">  + §µn tr©u</t>
  </si>
  <si>
    <t xml:space="preserve"> + §µn lîn</t>
  </si>
  <si>
    <t xml:space="preserve"> + §µn dª</t>
  </si>
  <si>
    <t>Tỷ lệ hộ nghèo</t>
  </si>
  <si>
    <t xml:space="preserve"> - Tỷ lệ hộ nghèo theo chuẩn  quốc gia</t>
  </si>
  <si>
    <t xml:space="preserve"> Trong đó: hộ đồng bào dân tộc thiểu số  </t>
  </si>
  <si>
    <t>Số hộ thoát nghèo</t>
  </si>
  <si>
    <t xml:space="preserve">  - Tỷ lệ hộ được sử dụng nước hợp vệ sinh</t>
  </si>
  <si>
    <t>Thực hiện
 2015</t>
  </si>
  <si>
    <t>Thu nhập bình quân đầu người</t>
  </si>
  <si>
    <t>Tuổi</t>
  </si>
  <si>
    <t xml:space="preserve">Số giường bệnh/ 1 vạn dân </t>
  </si>
  <si>
    <t>Tỷ lệ  trạm y tế có  bác sỹ</t>
  </si>
  <si>
    <t xml:space="preserve"> -Trong đó: Phần huyện quản lý thu</t>
  </si>
  <si>
    <t>Trong đó: Hộ đồng bào DTTS</t>
  </si>
  <si>
    <t>Trong đó: Hộ đồng bào dân tộc thiểu số (trên số hộ ĐBDT)</t>
  </si>
  <si>
    <t>1.000 lượt khách</t>
  </si>
  <si>
    <t>Tăng BQ</t>
  </si>
  <si>
    <t xml:space="preserve"> - Số dư nợ</t>
  </si>
  <si>
    <t xml:space="preserve"> -Dịch vụ tín dụng, ngân hàng</t>
  </si>
  <si>
    <t>Số lao động qua đào tạo</t>
  </si>
  <si>
    <t xml:space="preserve"> Sè lao ®éng ®­îc ®µo t¹o trong n¨m</t>
  </si>
  <si>
    <t xml:space="preserve"> - Tỷ lệ xã đạt chuẩn quốc gia về y tế</t>
  </si>
  <si>
    <t>Chỉ tiêu về nông nghiệp</t>
  </si>
  <si>
    <t xml:space="preserve"> -Tổng diện tích gieo trồng</t>
  </si>
  <si>
    <t xml:space="preserve"> - Tổng diện tích canh tác</t>
  </si>
  <si>
    <t xml:space="preserve"> - Sản lượng lương thực có hạt</t>
  </si>
  <si>
    <t xml:space="preserve"> - Giá trị sản xuất trên 1ha canh tác</t>
  </si>
  <si>
    <t xml:space="preserve"> - Hệ số sử dụng đất canh tác hàng năm </t>
  </si>
  <si>
    <t xml:space="preserve"> - Tổng diện tích có nhu cầu cần tưới</t>
  </si>
  <si>
    <t>1.000 ha</t>
  </si>
  <si>
    <t xml:space="preserve"> - Nguồn nước đáp ứng nhu cầu diện tích cây trồng cần tưới</t>
  </si>
  <si>
    <t>1.000người</t>
  </si>
  <si>
    <t xml:space="preserve"> - Hệ số sử dụng đất canh tác đối với cây hàng năm</t>
  </si>
  <si>
    <t>Thương mại -Dịch vụ</t>
  </si>
  <si>
    <t>Qphu1</t>
  </si>
  <si>
    <t>Dang</t>
  </si>
  <si>
    <t>Dxuyen</t>
  </si>
  <si>
    <t>Nam dir</t>
  </si>
  <si>
    <t>Nam Nung</t>
  </si>
  <si>
    <t>Tan Thanh</t>
  </si>
  <si>
    <t>Nam Xuan</t>
  </si>
  <si>
    <t>Dak so</t>
  </si>
  <si>
    <t>Nam da</t>
  </si>
  <si>
    <t>Dak mam</t>
  </si>
  <si>
    <t>Dak ro</t>
  </si>
  <si>
    <t>Buon Choa</t>
  </si>
  <si>
    <t>TK
1260</t>
  </si>
  <si>
    <t>KN</t>
  </si>
  <si>
    <t>Thực hiện 2010</t>
  </si>
  <si>
    <t>Thực hiện giai đoạn 2011-2015</t>
  </si>
  <si>
    <t>TH 2011</t>
  </si>
  <si>
    <t>TH 2012</t>
  </si>
  <si>
    <t>TH 2013</t>
  </si>
  <si>
    <t>TH 2014</t>
  </si>
  <si>
    <t>Kế hoạch</t>
  </si>
  <si>
    <t>Ước thực hiện giai đoạn 2011-2015</t>
  </si>
  <si>
    <t>Dự kiến kế hoạch 5 năm 2016-2020</t>
  </si>
  <si>
    <t>Tiêu chí</t>
  </si>
  <si>
    <t>Trong đó: Xã điểm của tỉnh (xã Nam Đà)</t>
  </si>
  <si>
    <t xml:space="preserve"> Xã điểm của huyện (xã Đắk Drô)</t>
  </si>
  <si>
    <t>11=7/4</t>
  </si>
  <si>
    <t>12=10/7</t>
  </si>
  <si>
    <t xml:space="preserve"> TH 6 tháng</t>
  </si>
  <si>
    <t>Ước TH 2015/ TH 2014</t>
  </si>
  <si>
    <t>Ước TH 2015/ KH 2015</t>
  </si>
  <si>
    <t>KH 2016/ ước TH 2015</t>
  </si>
  <si>
    <t>So với mục tiêu kế hoạch, NQ  giai đoạn 2011-2015 
(*)</t>
  </si>
  <si>
    <t>So sánh (%)</t>
  </si>
  <si>
    <t xml:space="preserve"> - Tỷ lệ phổ cập THCS xã, thị trấn</t>
  </si>
  <si>
    <t xml:space="preserve"> - Số xã phổ cập mầm non 5 tuổi (12/12 xã)</t>
  </si>
  <si>
    <t>Ước TH 2015 (theo số liệu đơn vị)</t>
  </si>
  <si>
    <t>KH 2016 (Theo số liệu của đơn vị báo cáo)</t>
  </si>
  <si>
    <t>(Kèm theo Báo cáo số:        /BC-UBND  ngày   tháng    năm 2015 của UBND  huyện Krông Nô)</t>
  </si>
  <si>
    <t xml:space="preserve">Ước TH 2015 </t>
  </si>
  <si>
    <t>Nghìn người</t>
  </si>
  <si>
    <t>Trong đó: Đào tạo nghề cho lao động theo QĐ 1956</t>
  </si>
  <si>
    <t xml:space="preserve"> - Tû lÖ sè tr­êng ®¹t chuÈn quèc gia </t>
  </si>
  <si>
    <t>Mỗi xã đạt tăng từ 02 tiêu chí trở lên; Riêng xã điểm tăng 3 TC trở lên</t>
  </si>
  <si>
    <t>Mỗi xã đạt tăng từ 1-2 tiêu chí trở lên; Riêng xã điểm tăng 2 TC trở lên</t>
  </si>
  <si>
    <t>Mỗi xã đạt tăng từ 02 tiêu chí trở lên; Riêng xã điểm (của tỉnh và huyện) tăng 3 TC trở lên</t>
  </si>
  <si>
    <t>Ghi chú</t>
  </si>
  <si>
    <t xml:space="preserve"> - Tỷ lệ hộ nghèo theo chuẩn  quốc gia (theo tiêu chí cũ)</t>
  </si>
  <si>
    <t>Thực hiện 2015</t>
  </si>
  <si>
    <t xml:space="preserve">Năm 2016 </t>
  </si>
  <si>
    <t>Ước thực hiện</t>
  </si>
  <si>
    <t>Kế hoạch 2017</t>
  </si>
  <si>
    <t>ƯTH2016/KH2016</t>
  </si>
  <si>
    <t>ƯTH2016/TH2015</t>
  </si>
  <si>
    <t>KH2017/ƯTH2016</t>
  </si>
  <si>
    <t>76.650</t>
  </si>
  <si>
    <t>(Kèm theo Báo cáo  số:      /BC-UBND  ngày        tháng       năm 2016 của UBND  huyện Krông Nô)</t>
  </si>
  <si>
    <t>43/48TC</t>
  </si>
  <si>
    <t>Mỗi xã  tăng từ 2 tiêu chí trở lên, riêng xã Đắk Drô tăng 4 tiêu chí (Tổng cộng 28 tiêu chí)</t>
  </si>
  <si>
    <t>PHỤ BIỂU 01</t>
  </si>
  <si>
    <t>Con</t>
  </si>
  <si>
    <t>MỘT SỐ CHỈ TIÊU PHÁT TRIỂN KINH TẾ - XÃ HỘI  CHỦ YẾU NĂM 2017</t>
  </si>
  <si>
    <t>- Số lao động có việc làm</t>
  </si>
  <si>
    <t xml:space="preserve"> - Tỷ lệ thôn, buôn, bon, tổ dân phố văn hoá</t>
  </si>
  <si>
    <t xml:space="preserve"> - Tỷ lệ xã, thị trấn văn hoá</t>
  </si>
  <si>
    <t xml:space="preserve">  - Tỷ lệ chất thải rắn ở đô thị được thu gom</t>
  </si>
  <si>
    <t xml:space="preserve">  - Tỷ lệ chất thải rắn ở nông thôn được thu gom (các xã: Quảng Phú, Nâm N'đir, Đức Xuyên, Nam Xuân, Đắk Sôr, Đắk Drô, Nam Đà, Nâm Nung)</t>
  </si>
  <si>
    <t xml:space="preserve">- Tổng đàn gia súc  </t>
  </si>
  <si>
    <t>- Tổng đàn gia cầm</t>
  </si>
  <si>
    <t>Chỉ tiêu phát triển rừng</t>
  </si>
  <si>
    <t>-  Tỷ lệ che phủ rừng</t>
  </si>
  <si>
    <t>- Vận động phát triển rừng</t>
  </si>
  <si>
    <t>Đạt</t>
  </si>
  <si>
    <t>Chỉ tiêu quốc phòng - an ninh</t>
  </si>
  <si>
    <t>- Cơ quan, đơn vị; xã, thị trấn đạt chuẩn an toàn về an ninh - trật tự</t>
  </si>
  <si>
    <t>- Giữ vững ổn định an ninh chính trị, trật tự, an toàn xã hội, không xảy ra biểu tình, bạo loạn</t>
  </si>
  <si>
    <t>+ Riêng xã Đắk Drô (xã điểm của huyện) tăng 4 tiêu chí</t>
  </si>
  <si>
    <t xml:space="preserve"> - Số giường bệnh/vạn dân (không tính giường bệnh các Trạm y tế xã)</t>
  </si>
  <si>
    <t>Kế hoạch năm 2019</t>
  </si>
  <si>
    <t>MỘT SỐ CHỈ TIÊU PHÁT TRIỂN KINH TẾ - XÃ HỘI  CHỦ YẾU NĂM 2018</t>
  </si>
  <si>
    <t>Cơ cấu kinh tế (giá trị HH)</t>
  </si>
  <si>
    <t>Tổng mức bán buôn, bán lẻ hàng hoá - doanh thu dịch vụ tiêu dùng trên địa bàn</t>
  </si>
  <si>
    <t xml:space="preserve">                  - Vốn ODA</t>
  </si>
  <si>
    <t xml:space="preserve"> Trong đó: Hộ đồng bào dân tộc thiểu số </t>
  </si>
  <si>
    <t xml:space="preserve"> + Hộ đồng bào dân tộc thểu số tại chỗ</t>
  </si>
  <si>
    <t>Trong đó: Đàn bò</t>
  </si>
  <si>
    <t xml:space="preserve">Các xã phấn đấu tăng từ 2 tiêu chí trở lên. </t>
  </si>
  <si>
    <t>- Diễn tập chiến đấu phòng thủ cấp xã đạt khá trở lên.</t>
  </si>
  <si>
    <t>Tiêu chí về nông thôn mới</t>
  </si>
  <si>
    <t>TC</t>
  </si>
  <si>
    <t>Không đạt</t>
  </si>
  <si>
    <t>51,36</t>
  </si>
  <si>
    <t>53,16</t>
  </si>
  <si>
    <t xml:space="preserve">Tổng vốn đầu tư phát triển trên địa bàn </t>
  </si>
  <si>
    <t xml:space="preserve"> - Tỷ lệ học sinh đi học tiểu học</t>
  </si>
  <si>
    <t>- Số lao động được đào tạo trong năm</t>
  </si>
  <si>
    <t>&gt;92</t>
  </si>
  <si>
    <t>- Xây dựng lực lượng và tuyển quân theo kế hoạch</t>
  </si>
  <si>
    <t>Khá</t>
  </si>
  <si>
    <t>+ Riêng các xã Đắk Drô, Đắk Sôr đạt 3 tiêu chí trở lên</t>
  </si>
  <si>
    <t xml:space="preserve"> - Tỷ lệ trường chuẩn quốc gia</t>
  </si>
  <si>
    <t xml:space="preserve">Ghi chú </t>
  </si>
  <si>
    <t xml:space="preserve">- Tổ chức tập huấn, huấn luyện và bồi dưỡng kiến thức QP-AN cho các đối tượng </t>
  </si>
  <si>
    <t>(Kèm theo Tờ trình số:       /TTr-TCKH  ngày        /12/2018 của Phòng Tài chính - Kế hoạch)</t>
  </si>
  <si>
    <t>(Kèm theo Công văn số:           /TCKH-KHĐT  ngày           /5/2019 của Phòng Tài chính - Kế hoạch)</t>
  </si>
  <si>
    <t>(Kèm theo Báo cáo số:             /BC-UBND  ngày           /        /2019 của UBND huyện Krông Nô)</t>
  </si>
  <si>
    <t>Kết quả thực hiện năm 2018</t>
  </si>
  <si>
    <r>
      <t>- Sè lao ®éng thiÕu viÖc lµm t</t>
    </r>
    <r>
      <rPr>
        <sz val="12"/>
        <rFont val="Times New Roman"/>
        <family val="1"/>
      </rPr>
      <t>hường xuyên</t>
    </r>
    <r>
      <rPr>
        <sz val="12"/>
        <rFont val=".VnTime"/>
        <family val="2"/>
      </rPr>
      <t xml:space="preserve"> ë n«ng th«n</t>
    </r>
  </si>
  <si>
    <t xml:space="preserve"> &gt;92</t>
  </si>
  <si>
    <t>Kế hoạch năm 2020</t>
  </si>
  <si>
    <t>So sánh ƯTH/KH(%)</t>
  </si>
  <si>
    <t>Nam Đà, Đắk Drô từ 1-2 TC</t>
  </si>
  <si>
    <t>(Kèm theo Tờ trình số:       /TTr-UBND  ngày        /      /2019 của UBND huyện Krông Nô)</t>
  </si>
  <si>
    <t>PHỤ BIỂU MỘT SỐ CHỈ TIÊU  TRIỂN KINH TẾ - XÃ HỘI  CHỦ YẾU NĂM 2019, KẾ HOẠCH NĂM 2020</t>
  </si>
  <si>
    <t>PHỤ BIỂU MỘT SỐ CHỈ TIÊU  TRIỂN KINH TẾ - XÃ HỘI  CHỦ YẾU NĂM 2020</t>
  </si>
  <si>
    <t>(Kèm theo Nghị quyết  số:       /NQ-HĐND  ngày        tháng  12/2019 của HĐND huyện Krông Nô)</t>
  </si>
  <si>
    <t>Kế hoạch năm 2022</t>
  </si>
  <si>
    <t>Số hộ vay vốn tạo việc làm</t>
  </si>
  <si>
    <t>Hộ</t>
  </si>
  <si>
    <t>Theo chuẩn mới</t>
  </si>
  <si>
    <t>Theo chuẩn cũ</t>
  </si>
  <si>
    <t>ko đạt</t>
  </si>
  <si>
    <t>Ko đạt</t>
  </si>
  <si>
    <t>Xã đạt chuẩn thôn thôn mới 02 (Nâm Nung, Nâm N'Đir)</t>
  </si>
  <si>
    <t>Kết quả thực hiện năm 2021</t>
  </si>
  <si>
    <t>Kế hoạch năm 2023</t>
  </si>
  <si>
    <t xml:space="preserve"> ha</t>
  </si>
  <si>
    <t>Tỷ lệ lao động qua đào tạo</t>
  </si>
  <si>
    <t>Số lao động được đào tạo trong năm</t>
  </si>
  <si>
    <t>Số lao động được  tạo việc làm  trong năm</t>
  </si>
  <si>
    <t>Có 01 xã đạt NTM trở lên</t>
  </si>
  <si>
    <t>không đạt</t>
  </si>
  <si>
    <t>đạt</t>
  </si>
  <si>
    <t>(27.012,61/28.279ha)</t>
  </si>
  <si>
    <t xml:space="preserve"> - Tỷ lệ trạm y tế có bác sỹ (không kể BS điều động)</t>
  </si>
  <si>
    <t xml:space="preserve">  - Tỷ lệ chất thải rắn ở đô thị được thu gom
  rác thải đô thị</t>
  </si>
  <si>
    <t xml:space="preserve"> Trong đó: Hộ nghèo đồng bào dân tộc thiểu số tại chỗ</t>
  </si>
  <si>
    <t>(26.889,11/28.279 ha)</t>
  </si>
  <si>
    <t>(27.259/28.279)</t>
  </si>
  <si>
    <t>(Năm 2023 đăng ký cấp GCNQSD đất là 370 ha)</t>
  </si>
  <si>
    <t xml:space="preserve">Tỷ lệ đăng ký cấp giấy chứng nhận quyền sử dụng đất </t>
  </si>
  <si>
    <t xml:space="preserve"> - Tỷ lệ trường chuẩn quốc gia ( tổng 46 trường)</t>
  </si>
  <si>
    <t>Các xã còn lại đạt từ 5 tiêu chí NTM trở lên</t>
  </si>
  <si>
    <t>(Kèm theo Báo cáo số:             /BC-UBND  ngày        /      /2022 của UBND huyện Krông Nô)</t>
  </si>
  <si>
    <t>PHỤ BIỂU MỘT SỐ CHỈ TIÊU  TRIỂN KINH TẾ - XÃ HỘI  CHỦ YẾU NĂM 2023</t>
  </si>
  <si>
    <t>Kết quả thực hiện năm 2022</t>
  </si>
  <si>
    <t>Các xã còn lại đạt từ 15 tiêu chí NTM trở lên</t>
  </si>
  <si>
    <t xml:space="preserve"> đạt</t>
  </si>
  <si>
    <t>Kế hoạch năm 2024</t>
  </si>
  <si>
    <t>(27.430,63/28.279)</t>
  </si>
  <si>
    <r>
      <t xml:space="preserve"> - Tỷ lệ trường chuẩn quốc gia </t>
    </r>
    <r>
      <rPr>
        <i/>
        <sz val="12"/>
        <rFont val="Times New Roman"/>
        <family val="1"/>
      </rPr>
      <t>(Năm 2024 là 01 trường 29/46</t>
    </r>
    <r>
      <rPr>
        <sz val="13"/>
        <rFont val="Times New Roman"/>
        <family val="1"/>
      </rPr>
      <t>)</t>
    </r>
  </si>
  <si>
    <t>PHỤ BIỂU MỘT SỐ CHỈ TIÊU  TRIỂN KINH TẾ - XÃ HỘI  CHỦ YẾU NĂM 2024</t>
  </si>
  <si>
    <t>(26.939/28.279)</t>
  </si>
  <si>
    <t>(Năm 2024 đăng ký cấp GCNQSD đất là 491 ha)</t>
  </si>
  <si>
    <t>Bao gồm vốn ngân sách huyện,NS xã và CTMTQG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</si>
</sst>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_-;\-* #,##0_-;_-* &quot;-&quot;_-;_-@_-"/>
    <numFmt numFmtId="173" formatCode="_-* #,##0.00_-;\-* #,##0.00_-;_-* &quot;-&quot;??_-;_-@_-"/>
    <numFmt numFmtId="174" formatCode="_(* #,##0.0_);_(* \(#,##0.0\);_(* &quot;-&quot;??_);_(@_)"/>
    <numFmt numFmtId="175" formatCode="#,##0.0"/>
    <numFmt numFmtId="176" formatCode="#,##0.000"/>
    <numFmt numFmtId="177" formatCode="0.0"/>
    <numFmt numFmtId="178" formatCode="_(* #,##0_);_(* \(#,##0\);_(* &quot;-&quot;??_);_(@_)"/>
    <numFmt numFmtId="179" formatCode="0.000"/>
    <numFmt numFmtId="180" formatCode="#,##0\ &quot;€&quot;;[Red]\-#,##0\ &quot;€&quot;"/>
    <numFmt numFmtId="181" formatCode="&quot;\&quot;#,##0;[Red]&quot;\&quot;\-#,##0"/>
    <numFmt numFmtId="182" formatCode="&quot;\&quot;#,##0.00;[Red]&quot;\&quot;\-#,##0.00"/>
    <numFmt numFmtId="183" formatCode="\$#,##0\ ;\(\$#,##0\)"/>
    <numFmt numFmtId="184" formatCode="&quot;\&quot;#,##0;[Red]&quot;\&quot;&quot;\&quot;\-#,##0"/>
    <numFmt numFmtId="185" formatCode="&quot;\&quot;#,##0.00;[Red]&quot;\&quot;&quot;\&quot;&quot;\&quot;&quot;\&quot;&quot;\&quot;&quot;\&quot;\-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VND&quot;#,##0_);[Red]\(&quot;VND&quot;#,##0\)"/>
    <numFmt numFmtId="189" formatCode="#,##0;\(#,##0\)"/>
    <numFmt numFmtId="190" formatCode="\t0.00%"/>
    <numFmt numFmtId="191" formatCode="\t#\ ??/??"/>
    <numFmt numFmtId="192" formatCode="m/d"/>
    <numFmt numFmtId="193" formatCode="&quot;ß&quot;#,##0;\-&quot;&quot;\ß&quot;&quot;#,##0"/>
    <numFmt numFmtId="194" formatCode="#,##0.00\ &quot;F&quot;;[Red]\-#,##0.00\ &quot;F&quot;"/>
    <numFmt numFmtId="195" formatCode="_-* #,##0\ &quot;F&quot;_-;\-* #,##0\ &quot;F&quot;_-;_-* &quot;-&quot;\ &quot;F&quot;_-;_-@_-"/>
    <numFmt numFmtId="196" formatCode="#,##0\ &quot;F&quot;;[Red]\-#,##0\ &quot;F&quot;"/>
    <numFmt numFmtId="197" formatCode="#,##0.00\ &quot;F&quot;;\-#,##0.00\ &quot;F&quot;"/>
    <numFmt numFmtId="198" formatCode="#,##0.00000000"/>
    <numFmt numFmtId="199" formatCode="_(* #,##0.000_);_(* \(#,##0.000\);_(* &quot;-&quot;??_);_(@_)"/>
    <numFmt numFmtId="200" formatCode="#,##0;[Red]#,##0"/>
    <numFmt numFmtId="201" formatCode="#,##0.000_);[Red]\(#,##0.000\)"/>
    <numFmt numFmtId="202" formatCode="#,##0.00;[Red]#,##0.00"/>
    <numFmt numFmtId="203" formatCode="#,##0.000;[Red]#,##0.000"/>
    <numFmt numFmtId="204" formatCode="_-* #,##0.000_-;\-* #,##0.000_-;_-* &quot;-&quot;??_-;_-@_-"/>
    <numFmt numFmtId="205" formatCode="_(* #,##0.0_);_(* \(#,##0.0\);_(* &quot;-&quot;?_);_(@_)"/>
    <numFmt numFmtId="206" formatCode="#,##0.0_);[Red]\(#,##0.0\)"/>
    <numFmt numFmtId="207" formatCode="_(* #,##0.000_);_(* \(#,##0.000\);_(* &quot;-&quot;???_);_(@_)"/>
    <numFmt numFmtId="208" formatCode="#,##0.000\ _₫;[Red]\-#,##0.000\ _₫"/>
    <numFmt numFmtId="209" formatCode="0.0000"/>
    <numFmt numFmtId="210" formatCode="_(* #,##0.00_);_(* \(#,##0.00\);_(* &quot;-&quot;&quot;?&quot;&quot;?&quot;_);_(@_)"/>
    <numFmt numFmtId="211" formatCode="_(* #,##0_);_(* \(#,##0\);_(* &quot;-&quot;&quot;?&quot;&quot;?&quot;_);_(@_)"/>
    <numFmt numFmtId="212" formatCode="_-* #,##0.000\ _₫_-;\-* #,##0.000\ _₫_-;_-* &quot;-&quot;???\ _₫_-;_-@_-"/>
    <numFmt numFmtId="213" formatCode="_-* #,##0.0\ _₫_-;\-* #,##0.0\ _₫_-;_-* &quot;-&quot;?\ _₫_-;_-@_-"/>
    <numFmt numFmtId="214" formatCode="_(* #,##0.0000_);_(* \(#,##0.0000\);_(* &quot;-&quot;??_);_(@_)"/>
    <numFmt numFmtId="215" formatCode="0.0000000"/>
    <numFmt numFmtId="216" formatCode="0.000000"/>
    <numFmt numFmtId="217" formatCode="0.00000"/>
    <numFmt numFmtId="218" formatCode="_-* #,##0.00\ _₫_-;\-* #,##0.00\ _₫_-;_-* &quot;-&quot;?\ _₫_-;_-@_-"/>
    <numFmt numFmtId="219" formatCode="0.0%"/>
    <numFmt numFmtId="220" formatCode="_(* #,##0.00000_);_(* \(#,##0.00000\);_(* &quot;-&quot;??_);_(@_)"/>
    <numFmt numFmtId="221" formatCode="&quot;Yes&quot;;&quot;Yes&quot;;&quot;No&quot;"/>
    <numFmt numFmtId="222" formatCode="&quot;True&quot;;&quot;True&quot;;&quot;False&quot;"/>
    <numFmt numFmtId="223" formatCode="&quot;On&quot;;&quot;On&quot;;&quot;Off&quot;"/>
    <numFmt numFmtId="224" formatCode="[$€-2]\ #,##0.00_);[Red]\([$€-2]\ #,##0.00\)"/>
    <numFmt numFmtId="225" formatCode="_-* #,##0\ _€_-;\-* #,##0\ _€_-;_-* &quot;-&quot;?\ _€_-;_-@_-"/>
    <numFmt numFmtId="226" formatCode="_-* #,##0.0\ _€_-;\-* #,##0.0\ _€_-;_-* &quot;-&quot;?\ _€_-;_-@_-"/>
  </numFmts>
  <fonts count="191">
    <font>
      <sz val="10"/>
      <name val="Arial"/>
      <family val="0"/>
    </font>
    <font>
      <sz val="12"/>
      <color indexed="8"/>
      <name val=".VnTime"/>
      <family val="2"/>
    </font>
    <font>
      <b/>
      <i/>
      <sz val="12"/>
      <color indexed="8"/>
      <name val=".vntime"/>
      <family val="2"/>
    </font>
    <font>
      <b/>
      <sz val="12"/>
      <color indexed="8"/>
      <name val=".VnTimeH"/>
      <family val="2"/>
    </font>
    <font>
      <b/>
      <sz val="11"/>
      <name val=".VnTimeH"/>
      <family val="2"/>
    </font>
    <font>
      <b/>
      <sz val="11"/>
      <name val=".VnTime"/>
      <family val="2"/>
    </font>
    <font>
      <b/>
      <sz val="12"/>
      <name val=".VnTime"/>
      <family val="2"/>
    </font>
    <font>
      <sz val="11"/>
      <name val=".VnTime"/>
      <family val="2"/>
    </font>
    <font>
      <sz val="12"/>
      <name val=".VnTime"/>
      <family val="2"/>
    </font>
    <font>
      <sz val="11"/>
      <name val="Times New Roman"/>
      <family val="1"/>
    </font>
    <font>
      <sz val="11"/>
      <color indexed="8"/>
      <name val=".VnTime"/>
      <family val="2"/>
    </font>
    <font>
      <sz val="8"/>
      <name val="Arial"/>
      <family val="2"/>
    </font>
    <font>
      <b/>
      <i/>
      <sz val="14"/>
      <color indexed="8"/>
      <name val=".VnTime"/>
      <family val="2"/>
    </font>
    <font>
      <b/>
      <sz val="12"/>
      <color indexed="8"/>
      <name val=".VnTime"/>
      <family val="2"/>
    </font>
    <font>
      <i/>
      <sz val="12"/>
      <color indexed="8"/>
      <name val=".VnTime"/>
      <family val="2"/>
    </font>
    <font>
      <b/>
      <sz val="13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i/>
      <sz val="11"/>
      <name val=".VnTime"/>
      <family val="2"/>
    </font>
    <font>
      <b/>
      <sz val="13"/>
      <color indexed="8"/>
      <name val=".VnTime"/>
      <family val="2"/>
    </font>
    <font>
      <sz val="13"/>
      <color indexed="8"/>
      <name val=".VnTime"/>
      <family val="2"/>
    </font>
    <font>
      <i/>
      <sz val="13"/>
      <color indexed="8"/>
      <name val=".VnTime"/>
      <family val="2"/>
    </font>
    <font>
      <b/>
      <i/>
      <sz val="13"/>
      <color indexed="8"/>
      <name val=".VnTime"/>
      <family val="2"/>
    </font>
    <font>
      <i/>
      <sz val="11"/>
      <color indexed="8"/>
      <name val=".VnTime"/>
      <family val="2"/>
    </font>
    <font>
      <b/>
      <sz val="10"/>
      <color indexed="8"/>
      <name val=".VnTimeH"/>
      <family val="2"/>
    </font>
    <font>
      <b/>
      <sz val="10"/>
      <color indexed="8"/>
      <name val=".VnTime"/>
      <family val="2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8"/>
      <name val="Times New Roman"/>
      <family val="1"/>
    </font>
    <font>
      <b/>
      <i/>
      <sz val="14"/>
      <name val="Times New Roman"/>
      <family val="1"/>
    </font>
    <font>
      <b/>
      <sz val="15"/>
      <name val="Times New Roman"/>
      <family val="1"/>
    </font>
    <font>
      <b/>
      <i/>
      <sz val="13"/>
      <name val="Times New Roman"/>
      <family val="1"/>
    </font>
    <font>
      <b/>
      <u val="single"/>
      <sz val="13"/>
      <name val="Times New Roman"/>
      <family val="1"/>
    </font>
    <font>
      <sz val="14"/>
      <name val=".VnTimeH"/>
      <family val="2"/>
    </font>
    <font>
      <sz val="12"/>
      <name val="¹UAAA¼"/>
      <family val="3"/>
    </font>
    <font>
      <sz val="13"/>
      <name val=".VnTime"/>
      <family val="2"/>
    </font>
    <font>
      <b/>
      <sz val="12"/>
      <name val="Arial"/>
      <family val="2"/>
    </font>
    <font>
      <i/>
      <sz val="10"/>
      <name val=".VnTime"/>
      <family val="2"/>
    </font>
    <font>
      <b/>
      <sz val="10"/>
      <name val=".VnArial"/>
      <family val="2"/>
    </font>
    <font>
      <b/>
      <sz val="10"/>
      <name val=".VnTime"/>
      <family val="2"/>
    </font>
    <font>
      <sz val="12"/>
      <name val="Arial"/>
      <family val="2"/>
    </font>
    <font>
      <sz val="10"/>
      <name val="VNtimes new roman"/>
      <family val="1"/>
    </font>
    <font>
      <b/>
      <sz val="10"/>
      <name val=".VnTimeH"/>
      <family val="2"/>
    </font>
    <font>
      <sz val="14"/>
      <name val=".Vn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9"/>
      <name val="Arial"/>
      <family val="2"/>
    </font>
    <font>
      <sz val="10"/>
      <name val="굴림체"/>
      <family val="3"/>
    </font>
    <font>
      <sz val="12"/>
      <name val="Courier"/>
      <family val="3"/>
    </font>
    <font>
      <sz val="10"/>
      <name val=" 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5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14"/>
      <name val="Times New Roman"/>
      <family val="1"/>
    </font>
    <font>
      <i/>
      <sz val="14"/>
      <name val="Times New Roman"/>
      <family val="1"/>
    </font>
    <font>
      <i/>
      <vertAlign val="superscript"/>
      <sz val="12"/>
      <name val="Times New Roman"/>
      <family val="1"/>
    </font>
    <font>
      <b/>
      <sz val="18"/>
      <name val="Arial"/>
      <family val="2"/>
    </font>
    <font>
      <sz val="7"/>
      <name val="Small Fonts"/>
      <family val="2"/>
    </font>
    <font>
      <sz val="14"/>
      <name val="Times New Roman"/>
      <family val="1"/>
    </font>
    <font>
      <u val="single"/>
      <sz val="12"/>
      <name val="Times New Roman"/>
      <family val="1"/>
    </font>
    <font>
      <i/>
      <sz val="13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sz val="13"/>
      <name val=".VnTime"/>
      <family val="2"/>
    </font>
    <font>
      <i/>
      <sz val="13"/>
      <name val=".VnTime"/>
      <family val="2"/>
    </font>
    <font>
      <b/>
      <sz val="13"/>
      <name val="Arial"/>
      <family val="2"/>
    </font>
    <font>
      <u val="single"/>
      <sz val="13"/>
      <name val="Times New Roman"/>
      <family val="1"/>
    </font>
    <font>
      <b/>
      <vertAlign val="superscript"/>
      <sz val="13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4"/>
      <name val=".VnTime"/>
      <family val="2"/>
    </font>
    <font>
      <sz val="14"/>
      <name val=".VnTime"/>
      <family val="2"/>
    </font>
    <font>
      <sz val="10"/>
      <name val=".VnTime"/>
      <family val="2"/>
    </font>
    <font>
      <b/>
      <sz val="14"/>
      <name val=".VnTimeH"/>
      <family val="2"/>
    </font>
    <font>
      <sz val="16"/>
      <name val=".VnTime"/>
      <family val="2"/>
    </font>
    <font>
      <sz val="10"/>
      <name val=".VnTimeH"/>
      <family val="2"/>
    </font>
    <font>
      <b/>
      <sz val="9"/>
      <name val=".VnTime"/>
      <family val="2"/>
    </font>
    <font>
      <b/>
      <i/>
      <sz val="10"/>
      <name val=".VnTime"/>
      <family val="2"/>
    </font>
    <font>
      <i/>
      <sz val="12"/>
      <name val=".VnTime"/>
      <family val="2"/>
    </font>
    <font>
      <i/>
      <sz val="14"/>
      <name val=".VnTime"/>
      <family val="2"/>
    </font>
    <font>
      <b/>
      <sz val="14"/>
      <name val="VNI Times"/>
      <family val="0"/>
    </font>
    <font>
      <sz val="14"/>
      <name val="VNI Times"/>
      <family val="0"/>
    </font>
    <font>
      <b/>
      <sz val="13"/>
      <name val="VNI-Times"/>
      <family val="0"/>
    </font>
    <font>
      <sz val="13"/>
      <name val="VNI-Times"/>
      <family val="0"/>
    </font>
    <font>
      <b/>
      <sz val="13"/>
      <name val="VNI Times"/>
      <family val="0"/>
    </font>
    <font>
      <sz val="13"/>
      <name val="VNI Times"/>
      <family val="0"/>
    </font>
    <font>
      <b/>
      <sz val="13"/>
      <color indexed="8"/>
      <name val="VNI-Times"/>
      <family val="0"/>
    </font>
    <font>
      <sz val="13"/>
      <color indexed="8"/>
      <name val="VNI-Times"/>
      <family val="0"/>
    </font>
    <font>
      <b/>
      <sz val="11"/>
      <name val="Times New Roman"/>
      <family val="1"/>
    </font>
    <font>
      <b/>
      <sz val="12"/>
      <name val=".VnTimeH"/>
      <family val="2"/>
    </font>
    <font>
      <sz val="14"/>
      <color indexed="8"/>
      <name val="Times New Roman"/>
      <family val="1"/>
    </font>
    <font>
      <sz val="10"/>
      <color indexed="8"/>
      <name val=".VnTime"/>
      <family val="2"/>
    </font>
    <font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20"/>
      <color indexed="62"/>
      <name val="Tahoma"/>
      <family val="2"/>
    </font>
    <font>
      <b/>
      <sz val="14"/>
      <color indexed="10"/>
      <name val="Times New Roman"/>
      <family val="1"/>
    </font>
    <font>
      <b/>
      <sz val="11"/>
      <name val="Arial"/>
      <family val="2"/>
    </font>
    <font>
      <sz val="20"/>
      <name val="Tahoma"/>
      <family val="2"/>
    </font>
    <font>
      <sz val="9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i/>
      <sz val="13"/>
      <color indexed="8"/>
      <name val="Times New Roman"/>
      <family val="1"/>
    </font>
    <font>
      <sz val="13"/>
      <color indexed="10"/>
      <name val="Times New Roman"/>
      <family val="1"/>
    </font>
    <font>
      <b/>
      <sz val="13"/>
      <color indexed="10"/>
      <name val="Times New Roman"/>
      <family val="1"/>
    </font>
    <font>
      <sz val="12"/>
      <color indexed="10"/>
      <name val="VNI-Times"/>
      <family val="0"/>
    </font>
    <font>
      <sz val="12"/>
      <color indexed="62"/>
      <name val="Tahoma"/>
      <family val="2"/>
    </font>
    <font>
      <sz val="10"/>
      <color indexed="10"/>
      <name val="Times New Roman"/>
      <family val="1"/>
    </font>
    <font>
      <sz val="13"/>
      <color indexed="10"/>
      <name val="Cambria"/>
      <family val="1"/>
    </font>
    <font>
      <sz val="13"/>
      <name val="Cambria"/>
      <family val="1"/>
    </font>
    <font>
      <sz val="13"/>
      <color indexed="36"/>
      <name val="Times New Roman"/>
      <family val="1"/>
    </font>
    <font>
      <sz val="10"/>
      <color indexed="36"/>
      <name val="Times New Roman"/>
      <family val="1"/>
    </font>
    <font>
      <b/>
      <i/>
      <sz val="13"/>
      <color indexed="36"/>
      <name val="Times New Roman"/>
      <family val="1"/>
    </font>
    <font>
      <b/>
      <sz val="13"/>
      <color indexed="36"/>
      <name val="Times New Roman"/>
      <family val="1"/>
    </font>
    <font>
      <i/>
      <sz val="13"/>
      <color indexed="36"/>
      <name val="Times New Roman"/>
      <family val="1"/>
    </font>
    <font>
      <sz val="10"/>
      <color indexed="36"/>
      <name val=".VnTime"/>
      <family val="2"/>
    </font>
    <font>
      <sz val="12"/>
      <color indexed="36"/>
      <name val="Times New Roman"/>
      <family val="1"/>
    </font>
    <font>
      <sz val="13"/>
      <color indexed="36"/>
      <name val="Cambria"/>
      <family val="1"/>
    </font>
    <font>
      <sz val="10"/>
      <color indexed="36"/>
      <name val="Cambria"/>
      <family val="1"/>
    </font>
    <font>
      <b/>
      <sz val="13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theme="4" tint="-0.24997000396251678"/>
      <name val="Tahoma"/>
      <family val="2"/>
    </font>
    <font>
      <sz val="20"/>
      <color theme="3" tint="0.39998000860214233"/>
      <name val="Tahoma"/>
      <family val="2"/>
    </font>
    <font>
      <sz val="14"/>
      <color theme="1"/>
      <name val="Times New Roman"/>
      <family val="1"/>
    </font>
    <font>
      <sz val="12"/>
      <color rgb="FFFF0000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i/>
      <sz val="13"/>
      <color theme="1"/>
      <name val="Times New Roman"/>
      <family val="1"/>
    </font>
    <font>
      <sz val="13"/>
      <color rgb="FFFF0000"/>
      <name val="Times New Roman"/>
      <family val="1"/>
    </font>
    <font>
      <b/>
      <sz val="13"/>
      <color rgb="FFFF0000"/>
      <name val="Times New Roman"/>
      <family val="1"/>
    </font>
    <font>
      <sz val="12"/>
      <color rgb="FFFF0000"/>
      <name val="VNI-Times"/>
      <family val="0"/>
    </font>
    <font>
      <sz val="12"/>
      <color theme="4" tint="-0.24997000396251678"/>
      <name val="Tahoma"/>
      <family val="2"/>
    </font>
    <font>
      <sz val="10"/>
      <color rgb="FFFF0000"/>
      <name val="Times New Roman"/>
      <family val="1"/>
    </font>
    <font>
      <sz val="13"/>
      <color rgb="FFFF0000"/>
      <name val="Cambria"/>
      <family val="1"/>
    </font>
    <font>
      <sz val="13"/>
      <color rgb="FF7030A0"/>
      <name val="Times New Roman"/>
      <family val="1"/>
    </font>
    <font>
      <sz val="10"/>
      <color rgb="FF7030A0"/>
      <name val="Times New Roman"/>
      <family val="1"/>
    </font>
    <font>
      <b/>
      <i/>
      <sz val="13"/>
      <color rgb="FF7030A0"/>
      <name val="Times New Roman"/>
      <family val="1"/>
    </font>
    <font>
      <b/>
      <sz val="13"/>
      <color rgb="FF7030A0"/>
      <name val="Times New Roman"/>
      <family val="1"/>
    </font>
    <font>
      <i/>
      <sz val="13"/>
      <color rgb="FF7030A0"/>
      <name val="Times New Roman"/>
      <family val="1"/>
    </font>
    <font>
      <sz val="10"/>
      <color rgb="FF7030A0"/>
      <name val=".VnTime"/>
      <family val="2"/>
    </font>
    <font>
      <sz val="12"/>
      <color rgb="FF7030A0"/>
      <name val="Times New Roman"/>
      <family val="1"/>
    </font>
    <font>
      <sz val="13"/>
      <color rgb="FF7030A0"/>
      <name val="Cambria"/>
      <family val="1"/>
    </font>
    <font>
      <sz val="10"/>
      <color rgb="FF7030A0"/>
      <name val="Cambria"/>
      <family val="1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4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33">
    <xf numFmtId="0" fontId="0" fillId="0" borderId="0">
      <alignment/>
      <protection/>
    </xf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51" fillId="2" borderId="0" applyNumberFormat="0" applyBorder="0" applyAlignment="0" applyProtection="0"/>
    <xf numFmtId="0" fontId="151" fillId="3" borderId="0" applyNumberFormat="0" applyBorder="0" applyAlignment="0" applyProtection="0"/>
    <xf numFmtId="0" fontId="151" fillId="4" borderId="0" applyNumberFormat="0" applyBorder="0" applyAlignment="0" applyProtection="0"/>
    <xf numFmtId="0" fontId="151" fillId="5" borderId="0" applyNumberFormat="0" applyBorder="0" applyAlignment="0" applyProtection="0"/>
    <xf numFmtId="0" fontId="151" fillId="6" borderId="0" applyNumberFormat="0" applyBorder="0" applyAlignment="0" applyProtection="0"/>
    <xf numFmtId="0" fontId="151" fillId="7" borderId="0" applyNumberFormat="0" applyBorder="0" applyAlignment="0" applyProtection="0"/>
    <xf numFmtId="0" fontId="151" fillId="8" borderId="0" applyNumberFormat="0" applyBorder="0" applyAlignment="0" applyProtection="0"/>
    <xf numFmtId="0" fontId="151" fillId="9" borderId="0" applyNumberFormat="0" applyBorder="0" applyAlignment="0" applyProtection="0"/>
    <xf numFmtId="0" fontId="151" fillId="10" borderId="0" applyNumberFormat="0" applyBorder="0" applyAlignment="0" applyProtection="0"/>
    <xf numFmtId="0" fontId="151" fillId="11" borderId="0" applyNumberFormat="0" applyBorder="0" applyAlignment="0" applyProtection="0"/>
    <xf numFmtId="0" fontId="151" fillId="12" borderId="0" applyNumberFormat="0" applyBorder="0" applyAlignment="0" applyProtection="0"/>
    <xf numFmtId="0" fontId="151" fillId="13" borderId="0" applyNumberFormat="0" applyBorder="0" applyAlignment="0" applyProtection="0"/>
    <xf numFmtId="178" fontId="36" fillId="0" borderId="1" applyNumberFormat="0" applyFont="0" applyBorder="0" applyAlignment="0">
      <protection/>
    </xf>
    <xf numFmtId="0" fontId="152" fillId="14" borderId="0" applyNumberFormat="0" applyBorder="0" applyAlignment="0" applyProtection="0"/>
    <xf numFmtId="0" fontId="152" fillId="15" borderId="0" applyNumberFormat="0" applyBorder="0" applyAlignment="0" applyProtection="0"/>
    <xf numFmtId="0" fontId="152" fillId="16" borderId="0" applyNumberFormat="0" applyBorder="0" applyAlignment="0" applyProtection="0"/>
    <xf numFmtId="0" fontId="152" fillId="17" borderId="0" applyNumberFormat="0" applyBorder="0" applyAlignment="0" applyProtection="0"/>
    <xf numFmtId="0" fontId="152" fillId="18" borderId="0" applyNumberFormat="0" applyBorder="0" applyAlignment="0" applyProtection="0"/>
    <xf numFmtId="0" fontId="152" fillId="19" borderId="0" applyNumberFormat="0" applyBorder="0" applyAlignment="0" applyProtection="0"/>
    <xf numFmtId="0" fontId="152" fillId="20" borderId="0" applyNumberFormat="0" applyBorder="0" applyAlignment="0" applyProtection="0"/>
    <xf numFmtId="0" fontId="152" fillId="21" borderId="0" applyNumberFormat="0" applyBorder="0" applyAlignment="0" applyProtection="0"/>
    <xf numFmtId="0" fontId="152" fillId="22" borderId="0" applyNumberFormat="0" applyBorder="0" applyAlignment="0" applyProtection="0"/>
    <xf numFmtId="0" fontId="152" fillId="23" borderId="0" applyNumberFormat="0" applyBorder="0" applyAlignment="0" applyProtection="0"/>
    <xf numFmtId="0" fontId="152" fillId="24" borderId="0" applyNumberFormat="0" applyBorder="0" applyAlignment="0" applyProtection="0"/>
    <xf numFmtId="0" fontId="152" fillId="25" borderId="0" applyNumberFormat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153" fillId="26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154" fillId="27" borderId="2" applyNumberFormat="0" applyAlignment="0" applyProtection="0"/>
    <xf numFmtId="0" fontId="155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8" fillId="0" borderId="0" applyFont="0" applyFill="0" applyBorder="0" applyAlignment="0" applyProtection="0"/>
    <xf numFmtId="210" fontId="0" fillId="0" borderId="0" applyFont="0" applyFill="0" applyBorder="0" applyAlignment="0" applyProtection="0"/>
    <xf numFmtId="43" fontId="68" fillId="0" borderId="0" applyFont="0" applyFill="0" applyBorder="0" applyAlignment="0" applyProtection="0"/>
    <xf numFmtId="189" fontId="18" fillId="0" borderId="0">
      <alignment/>
      <protection/>
    </xf>
    <xf numFmtId="43" fontId="5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90" fontId="0" fillId="0" borderId="0">
      <alignment/>
      <protection/>
    </xf>
    <xf numFmtId="0" fontId="0" fillId="0" borderId="0" applyFont="0" applyFill="0" applyBorder="0" applyAlignment="0" applyProtection="0"/>
    <xf numFmtId="191" fontId="0" fillId="0" borderId="0">
      <alignment/>
      <protection/>
    </xf>
    <xf numFmtId="0" fontId="15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57" fillId="29" borderId="0" applyNumberFormat="0" applyBorder="0" applyAlignment="0" applyProtection="0"/>
    <xf numFmtId="38" fontId="11" fillId="30" borderId="0" applyNumberFormat="0" applyBorder="0" applyAlignment="0" applyProtection="0"/>
    <xf numFmtId="0" fontId="39" fillId="0" borderId="4" applyNumberFormat="0" applyAlignment="0" applyProtection="0"/>
    <xf numFmtId="0" fontId="39" fillId="0" borderId="5">
      <alignment horizontal="left" vertical="center"/>
      <protection/>
    </xf>
    <xf numFmtId="0" fontId="158" fillId="0" borderId="6" applyNumberFormat="0" applyFill="0" applyAlignment="0" applyProtection="0"/>
    <xf numFmtId="0" fontId="159" fillId="0" borderId="7" applyNumberFormat="0" applyFill="0" applyAlignment="0" applyProtection="0"/>
    <xf numFmtId="0" fontId="160" fillId="0" borderId="8" applyNumberFormat="0" applyFill="0" applyAlignment="0" applyProtection="0"/>
    <xf numFmtId="0" fontId="160" fillId="0" borderId="0" applyNumberFormat="0" applyFill="0" applyBorder="0" applyAlignment="0" applyProtection="0"/>
    <xf numFmtId="0" fontId="66" fillId="0" borderId="0" applyProtection="0">
      <alignment/>
    </xf>
    <xf numFmtId="0" fontId="39" fillId="0" borderId="0" applyProtection="0">
      <alignment/>
    </xf>
    <xf numFmtId="0" fontId="30" fillId="0" borderId="0" applyNumberFormat="0" applyFill="0" applyBorder="0" applyAlignment="0" applyProtection="0"/>
    <xf numFmtId="0" fontId="161" fillId="31" borderId="2" applyNumberFormat="0" applyAlignment="0" applyProtection="0"/>
    <xf numFmtId="10" fontId="11" fillId="32" borderId="9" applyNumberFormat="0" applyBorder="0" applyAlignment="0" applyProtection="0"/>
    <xf numFmtId="0" fontId="162" fillId="0" borderId="10" applyNumberFormat="0" applyFill="0" applyAlignment="0" applyProtection="0"/>
    <xf numFmtId="3" fontId="40" fillId="0" borderId="11" applyNumberFormat="0" applyAlignment="0">
      <protection/>
    </xf>
    <xf numFmtId="3" fontId="41" fillId="0" borderId="11" applyNumberFormat="0" applyAlignment="0">
      <protection/>
    </xf>
    <xf numFmtId="3" fontId="42" fillId="0" borderId="11" applyNumberFormat="0" applyAlignment="0">
      <protection/>
    </xf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3" fillId="0" borderId="0" applyNumberFormat="0" applyFont="0" applyFill="0" applyAlignment="0">
      <protection/>
    </xf>
    <xf numFmtId="0" fontId="163" fillId="33" borderId="0" applyNumberFormat="0" applyBorder="0" applyAlignment="0" applyProtection="0"/>
    <xf numFmtId="0" fontId="18" fillId="0" borderId="0">
      <alignment/>
      <protection/>
    </xf>
    <xf numFmtId="37" fontId="67" fillId="0" borderId="0">
      <alignment/>
      <protection/>
    </xf>
    <xf numFmtId="188" fontId="44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19" fillId="0" borderId="0">
      <alignment/>
      <protection/>
    </xf>
    <xf numFmtId="0" fontId="0" fillId="34" borderId="12" applyNumberFormat="0" applyFont="0" applyAlignment="0" applyProtection="0"/>
    <xf numFmtId="0" fontId="164" fillId="27" borderId="13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4" fontId="38" fillId="0" borderId="14">
      <alignment horizontal="right" vertical="center"/>
      <protection/>
    </xf>
    <xf numFmtId="195" fontId="38" fillId="0" borderId="14">
      <alignment horizontal="center"/>
      <protection/>
    </xf>
    <xf numFmtId="0" fontId="165" fillId="0" borderId="0" applyNumberFormat="0" applyFill="0" applyBorder="0" applyAlignment="0" applyProtection="0"/>
    <xf numFmtId="3" fontId="45" fillId="0" borderId="11" applyNumberFormat="0" applyAlignment="0">
      <protection/>
    </xf>
    <xf numFmtId="3" fontId="4" fillId="0" borderId="15" applyNumberFormat="0" applyAlignment="0">
      <protection/>
    </xf>
    <xf numFmtId="0" fontId="166" fillId="0" borderId="16" applyNumberFormat="0" applyFill="0" applyAlignment="0" applyProtection="0"/>
    <xf numFmtId="196" fontId="38" fillId="0" borderId="0">
      <alignment/>
      <protection/>
    </xf>
    <xf numFmtId="197" fontId="38" fillId="0" borderId="9">
      <alignment/>
      <protection/>
    </xf>
    <xf numFmtId="0" fontId="16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20" fillId="0" borderId="0">
      <alignment vertical="center"/>
      <protection/>
    </xf>
    <xf numFmtId="40" fontId="47" fillId="0" borderId="0" applyFont="0" applyFill="0" applyBorder="0" applyAlignment="0" applyProtection="0"/>
    <xf numFmtId="38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9" fillId="0" borderId="0">
      <alignment/>
      <protection/>
    </xf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2" fontId="48" fillId="0" borderId="0" applyFont="0" applyFill="0" applyBorder="0" applyAlignment="0" applyProtection="0"/>
    <xf numFmtId="181" fontId="48" fillId="0" borderId="0" applyFont="0" applyFill="0" applyBorder="0" applyAlignment="0" applyProtection="0"/>
    <xf numFmtId="0" fontId="51" fillId="0" borderId="0">
      <alignment/>
      <protection/>
    </xf>
    <xf numFmtId="0" fontId="43" fillId="0" borderId="0">
      <alignment/>
      <protection/>
    </xf>
    <xf numFmtId="172" fontId="50" fillId="0" borderId="0" applyFont="0" applyFill="0" applyBorder="0" applyAlignment="0" applyProtection="0"/>
    <xf numFmtId="173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0" fontId="52" fillId="0" borderId="0" applyFont="0" applyFill="0" applyBorder="0" applyAlignment="0" applyProtection="0"/>
    <xf numFmtId="187" fontId="50" fillId="0" borderId="0" applyFont="0" applyFill="0" applyBorder="0" applyAlignment="0" applyProtection="0"/>
  </cellStyleXfs>
  <cellXfs count="190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" fillId="0" borderId="15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174" fontId="1" fillId="0" borderId="15" xfId="49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  <xf numFmtId="0" fontId="14" fillId="0" borderId="15" xfId="0" applyFont="1" applyBorder="1" applyAlignment="1">
      <alignment vertical="center" wrapText="1"/>
    </xf>
    <xf numFmtId="175" fontId="14" fillId="0" borderId="15" xfId="49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3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vertical="center" wrapText="1"/>
    </xf>
    <xf numFmtId="175" fontId="1" fillId="0" borderId="15" xfId="49" applyNumberFormat="1" applyFont="1" applyBorder="1" applyAlignment="1">
      <alignment horizontal="center" vertical="center"/>
    </xf>
    <xf numFmtId="3" fontId="13" fillId="0" borderId="17" xfId="49" applyNumberFormat="1" applyFont="1" applyBorder="1" applyAlignment="1">
      <alignment horizontal="center" vertical="center"/>
    </xf>
    <xf numFmtId="3" fontId="1" fillId="0" borderId="15" xfId="49" applyNumberFormat="1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0" xfId="0" applyFont="1" applyAlignment="1">
      <alignment vertical="center"/>
    </xf>
    <xf numFmtId="176" fontId="1" fillId="0" borderId="15" xfId="49" applyNumberFormat="1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3" fontId="1" fillId="0" borderId="15" xfId="49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15" xfId="0" applyFont="1" applyBorder="1" applyAlignment="1" quotePrefix="1">
      <alignment vertical="center" wrapText="1"/>
    </xf>
    <xf numFmtId="0" fontId="1" fillId="0" borderId="0" xfId="0" applyFont="1" applyAlignment="1">
      <alignment horizontal="center" vertical="center"/>
    </xf>
    <xf numFmtId="3" fontId="14" fillId="0" borderId="15" xfId="49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174" fontId="10" fillId="0" borderId="15" xfId="49" applyNumberFormat="1" applyFont="1" applyBorder="1" applyAlignment="1">
      <alignment horizontal="center" vertical="center" wrapText="1"/>
    </xf>
    <xf numFmtId="4" fontId="14" fillId="0" borderId="15" xfId="49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/>
    </xf>
    <xf numFmtId="175" fontId="1" fillId="0" borderId="18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" fontId="1" fillId="0" borderId="0" xfId="0" applyNumberFormat="1" applyFont="1" applyAlignment="1">
      <alignment vertical="center"/>
    </xf>
    <xf numFmtId="0" fontId="1" fillId="0" borderId="19" xfId="0" applyFont="1" applyFill="1" applyBorder="1" applyAlignment="1">
      <alignment vertical="center"/>
    </xf>
    <xf numFmtId="176" fontId="2" fillId="0" borderId="15" xfId="49" applyNumberFormat="1" applyFont="1" applyBorder="1" applyAlignment="1">
      <alignment horizontal="center" vertical="center"/>
    </xf>
    <xf numFmtId="176" fontId="2" fillId="0" borderId="15" xfId="49" applyNumberFormat="1" applyFont="1" applyFill="1" applyBorder="1" applyAlignment="1">
      <alignment horizontal="center" vertical="center"/>
    </xf>
    <xf numFmtId="176" fontId="13" fillId="0" borderId="15" xfId="49" applyNumberFormat="1" applyFont="1" applyBorder="1" applyAlignment="1">
      <alignment horizontal="center" vertical="center"/>
    </xf>
    <xf numFmtId="3" fontId="2" fillId="0" borderId="15" xfId="49" applyNumberFormat="1" applyFont="1" applyBorder="1" applyAlignment="1">
      <alignment horizontal="center" vertical="center"/>
    </xf>
    <xf numFmtId="176" fontId="1" fillId="0" borderId="15" xfId="49" applyNumberFormat="1" applyFont="1" applyFill="1" applyBorder="1" applyAlignment="1">
      <alignment horizontal="center" vertical="center"/>
    </xf>
    <xf numFmtId="0" fontId="14" fillId="0" borderId="15" xfId="0" applyFont="1" applyFill="1" applyBorder="1" applyAlignment="1" quotePrefix="1">
      <alignment vertical="center" wrapText="1"/>
    </xf>
    <xf numFmtId="0" fontId="14" fillId="0" borderId="19" xfId="0" applyFont="1" applyBorder="1" applyAlignment="1" quotePrefix="1">
      <alignment vertical="center" wrapText="1"/>
    </xf>
    <xf numFmtId="0" fontId="13" fillId="0" borderId="19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vertical="center" wrapText="1"/>
    </xf>
    <xf numFmtId="175" fontId="21" fillId="0" borderId="15" xfId="49" applyNumberFormat="1" applyFont="1" applyBorder="1" applyAlignment="1">
      <alignment horizontal="center" vertical="center"/>
    </xf>
    <xf numFmtId="3" fontId="2" fillId="0" borderId="15" xfId="49" applyNumberFormat="1" applyFont="1" applyFill="1" applyBorder="1" applyAlignment="1">
      <alignment horizontal="center" vertical="center"/>
    </xf>
    <xf numFmtId="9" fontId="1" fillId="0" borderId="18" xfId="100" applyFont="1" applyBorder="1" applyAlignment="1">
      <alignment horizontal="center" vertical="center"/>
    </xf>
    <xf numFmtId="10" fontId="1" fillId="0" borderId="0" xfId="100" applyNumberFormat="1" applyFont="1" applyAlignment="1">
      <alignment vertical="center"/>
    </xf>
    <xf numFmtId="0" fontId="22" fillId="0" borderId="15" xfId="0" applyFont="1" applyBorder="1" applyAlignment="1">
      <alignment horizontal="center" vertical="center"/>
    </xf>
    <xf numFmtId="0" fontId="23" fillId="0" borderId="15" xfId="0" applyFont="1" applyBorder="1" applyAlignment="1">
      <alignment horizontal="left" vertical="center" wrapText="1"/>
    </xf>
    <xf numFmtId="3" fontId="23" fillId="0" borderId="15" xfId="49" applyNumberFormat="1" applyFont="1" applyBorder="1" applyAlignment="1">
      <alignment horizontal="center" vertical="center"/>
    </xf>
    <xf numFmtId="176" fontId="22" fillId="0" borderId="15" xfId="49" applyNumberFormat="1" applyFont="1" applyBorder="1" applyAlignment="1">
      <alignment horizontal="center" vertical="center"/>
    </xf>
    <xf numFmtId="4" fontId="23" fillId="0" borderId="15" xfId="49" applyNumberFormat="1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4" fillId="0" borderId="15" xfId="0" applyFont="1" applyBorder="1" applyAlignment="1" quotePrefix="1">
      <alignment horizontal="left" vertical="center" wrapText="1"/>
    </xf>
    <xf numFmtId="0" fontId="23" fillId="0" borderId="15" xfId="0" applyFont="1" applyBorder="1" applyAlignment="1" quotePrefix="1">
      <alignment horizontal="left" vertical="center" wrapText="1"/>
    </xf>
    <xf numFmtId="176" fontId="23" fillId="0" borderId="15" xfId="49" applyNumberFormat="1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175" fontId="23" fillId="0" borderId="15" xfId="49" applyNumberFormat="1" applyFont="1" applyBorder="1" applyAlignment="1">
      <alignment horizontal="center" vertical="center"/>
    </xf>
    <xf numFmtId="0" fontId="2" fillId="0" borderId="15" xfId="0" applyFont="1" applyBorder="1" applyAlignment="1" quotePrefix="1">
      <alignment vertical="center" wrapText="1"/>
    </xf>
    <xf numFmtId="0" fontId="14" fillId="0" borderId="15" xfId="0" applyFont="1" applyBorder="1" applyAlignment="1">
      <alignment horizontal="left" vertical="center" wrapText="1"/>
    </xf>
    <xf numFmtId="176" fontId="14" fillId="0" borderId="15" xfId="49" applyNumberFormat="1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19" xfId="0" applyFont="1" applyBorder="1" applyAlignment="1">
      <alignment vertical="center"/>
    </xf>
    <xf numFmtId="176" fontId="14" fillId="0" borderId="15" xfId="49" applyNumberFormat="1" applyFont="1" applyFill="1" applyBorder="1" applyAlignment="1">
      <alignment horizontal="center" vertical="center"/>
    </xf>
    <xf numFmtId="3" fontId="1" fillId="0" borderId="20" xfId="49" applyNumberFormat="1" applyFont="1" applyBorder="1" applyAlignment="1">
      <alignment horizontal="center" vertical="center"/>
    </xf>
    <xf numFmtId="176" fontId="2" fillId="0" borderId="21" xfId="49" applyNumberFormat="1" applyFont="1" applyFill="1" applyBorder="1" applyAlignment="1">
      <alignment horizontal="center" vertical="center"/>
    </xf>
    <xf numFmtId="175" fontId="23" fillId="0" borderId="20" xfId="49" applyNumberFormat="1" applyFont="1" applyBorder="1" applyAlignment="1">
      <alignment horizontal="center" vertical="center"/>
    </xf>
    <xf numFmtId="176" fontId="23" fillId="0" borderId="20" xfId="49" applyNumberFormat="1" applyFont="1" applyBorder="1" applyAlignment="1">
      <alignment horizontal="center" vertical="center"/>
    </xf>
    <xf numFmtId="176" fontId="2" fillId="0" borderId="20" xfId="49" applyNumberFormat="1" applyFont="1" applyFill="1" applyBorder="1" applyAlignment="1">
      <alignment horizontal="center" vertical="center"/>
    </xf>
    <xf numFmtId="4" fontId="23" fillId="0" borderId="20" xfId="49" applyNumberFormat="1" applyFont="1" applyBorder="1" applyAlignment="1">
      <alignment horizontal="center" vertical="center"/>
    </xf>
    <xf numFmtId="175" fontId="2" fillId="0" borderId="20" xfId="49" applyNumberFormat="1" applyFont="1" applyBorder="1" applyAlignment="1">
      <alignment horizontal="center" vertical="center"/>
    </xf>
    <xf numFmtId="4" fontId="14" fillId="0" borderId="20" xfId="49" applyNumberFormat="1" applyFont="1" applyBorder="1" applyAlignment="1">
      <alignment horizontal="center" vertical="center"/>
    </xf>
    <xf numFmtId="3" fontId="14" fillId="0" borderId="20" xfId="49" applyNumberFormat="1" applyFont="1" applyBorder="1" applyAlignment="1">
      <alignment horizontal="center" vertical="center"/>
    </xf>
    <xf numFmtId="175" fontId="1" fillId="0" borderId="20" xfId="49" applyNumberFormat="1" applyFont="1" applyBorder="1" applyAlignment="1">
      <alignment horizontal="center" vertical="center"/>
    </xf>
    <xf numFmtId="176" fontId="1" fillId="0" borderId="20" xfId="49" applyNumberFormat="1" applyFont="1" applyBorder="1" applyAlignment="1">
      <alignment horizontal="center" vertical="center"/>
    </xf>
    <xf numFmtId="175" fontId="14" fillId="0" borderId="20" xfId="49" applyNumberFormat="1" applyFont="1" applyBorder="1" applyAlignment="1">
      <alignment horizontal="center" vertical="center"/>
    </xf>
    <xf numFmtId="175" fontId="1" fillId="0" borderId="22" xfId="0" applyNumberFormat="1" applyFont="1" applyBorder="1" applyAlignment="1">
      <alignment horizontal="center" vertical="center"/>
    </xf>
    <xf numFmtId="176" fontId="25" fillId="0" borderId="20" xfId="49" applyNumberFormat="1" applyFont="1" applyBorder="1" applyAlignment="1">
      <alignment horizontal="center" vertical="center"/>
    </xf>
    <xf numFmtId="174" fontId="26" fillId="0" borderId="15" xfId="49" applyNumberFormat="1" applyFont="1" applyBorder="1" applyAlignment="1">
      <alignment horizontal="center" vertical="center" wrapText="1"/>
    </xf>
    <xf numFmtId="176" fontId="1" fillId="0" borderId="0" xfId="0" applyNumberFormat="1" applyFont="1" applyAlignment="1">
      <alignment vertical="center"/>
    </xf>
    <xf numFmtId="10" fontId="23" fillId="0" borderId="0" xfId="0" applyNumberFormat="1" applyFont="1" applyAlignment="1">
      <alignment vertical="center"/>
    </xf>
    <xf numFmtId="3" fontId="13" fillId="0" borderId="23" xfId="49" applyNumberFormat="1" applyFont="1" applyBorder="1" applyAlignment="1">
      <alignment horizontal="center" vertical="center"/>
    </xf>
    <xf numFmtId="175" fontId="21" fillId="0" borderId="20" xfId="49" applyNumberFormat="1" applyFont="1" applyBorder="1" applyAlignment="1">
      <alignment horizontal="center" vertical="center"/>
    </xf>
    <xf numFmtId="0" fontId="28" fillId="0" borderId="0" xfId="0" applyFont="1" applyAlignment="1">
      <alignment vertical="center" wrapText="1"/>
    </xf>
    <xf numFmtId="3" fontId="1" fillId="0" borderId="17" xfId="49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157" fillId="29" borderId="9" xfId="67" applyBorder="1" applyAlignment="1">
      <alignment/>
    </xf>
    <xf numFmtId="0" fontId="153" fillId="26" borderId="9" xfId="44" applyBorder="1" applyAlignment="1">
      <alignment/>
    </xf>
    <xf numFmtId="0" fontId="10" fillId="0" borderId="9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9" fontId="0" fillId="0" borderId="9" xfId="0" applyNumberFormat="1" applyBorder="1" applyAlignment="1">
      <alignment/>
    </xf>
    <xf numFmtId="4" fontId="7" fillId="0" borderId="9" xfId="49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163" fillId="33" borderId="0" xfId="87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177" fontId="55" fillId="0" borderId="0" xfId="0" applyNumberFormat="1" applyFont="1" applyAlignment="1">
      <alignment/>
    </xf>
    <xf numFmtId="177" fontId="0" fillId="0" borderId="0" xfId="0" applyNumberFormat="1" applyAlignment="1">
      <alignment/>
    </xf>
    <xf numFmtId="0" fontId="15" fillId="0" borderId="0" xfId="97" applyFont="1" applyFill="1" applyBorder="1" applyAlignment="1">
      <alignment horizontal="center" vertical="center" wrapText="1"/>
      <protection/>
    </xf>
    <xf numFmtId="0" fontId="33" fillId="0" borderId="0" xfId="97" applyFont="1" applyFill="1" applyBorder="1" applyAlignment="1">
      <alignment horizontal="center" vertical="center" wrapText="1"/>
      <protection/>
    </xf>
    <xf numFmtId="0" fontId="15" fillId="0" borderId="9" xfId="97" applyFont="1" applyFill="1" applyBorder="1" applyAlignment="1">
      <alignment horizontal="center" vertical="center" wrapText="1"/>
      <protection/>
    </xf>
    <xf numFmtId="0" fontId="15" fillId="0" borderId="17" xfId="97" applyFont="1" applyFill="1" applyBorder="1" applyAlignment="1">
      <alignment vertical="center" wrapText="1"/>
      <protection/>
    </xf>
    <xf numFmtId="3" fontId="19" fillId="0" borderId="17" xfId="97" applyNumberFormat="1" applyFont="1" applyFill="1" applyBorder="1" applyAlignment="1">
      <alignment horizontal="center" vertical="center" wrapText="1"/>
      <protection/>
    </xf>
    <xf numFmtId="0" fontId="19" fillId="0" borderId="17" xfId="97" applyFont="1" applyFill="1" applyBorder="1" applyAlignment="1">
      <alignment horizontal="center" vertical="center" wrapText="1"/>
      <protection/>
    </xf>
    <xf numFmtId="3" fontId="19" fillId="0" borderId="17" xfId="97" applyNumberFormat="1" applyFont="1" applyFill="1" applyBorder="1" applyAlignment="1">
      <alignment horizontal="center" vertical="center"/>
      <protection/>
    </xf>
    <xf numFmtId="0" fontId="15" fillId="0" borderId="0" xfId="97" applyFont="1" applyFill="1" applyAlignment="1">
      <alignment vertical="center"/>
      <protection/>
    </xf>
    <xf numFmtId="3" fontId="19" fillId="0" borderId="15" xfId="97" applyNumberFormat="1" applyFont="1" applyFill="1" applyBorder="1" applyAlignment="1">
      <alignment horizontal="center" vertical="center" wrapText="1"/>
      <protection/>
    </xf>
    <xf numFmtId="0" fontId="15" fillId="0" borderId="15" xfId="97" applyFont="1" applyFill="1" applyBorder="1" applyAlignment="1">
      <alignment vertical="center" wrapText="1"/>
      <protection/>
    </xf>
    <xf numFmtId="0" fontId="15" fillId="0" borderId="15" xfId="97" applyFont="1" applyFill="1" applyBorder="1" applyAlignment="1">
      <alignment horizontal="center" vertical="center" wrapText="1"/>
      <protection/>
    </xf>
    <xf numFmtId="3" fontId="19" fillId="0" borderId="15" xfId="97" applyNumberFormat="1" applyFont="1" applyFill="1" applyBorder="1" applyAlignment="1">
      <alignment horizontal="center" vertical="center"/>
      <protection/>
    </xf>
    <xf numFmtId="0" fontId="35" fillId="0" borderId="15" xfId="97" applyFont="1" applyFill="1" applyBorder="1" applyAlignment="1">
      <alignment vertical="center" wrapText="1"/>
      <protection/>
    </xf>
    <xf numFmtId="0" fontId="35" fillId="0" borderId="15" xfId="97" applyFont="1" applyFill="1" applyBorder="1" applyAlignment="1">
      <alignment horizontal="center" vertical="center" wrapText="1"/>
      <protection/>
    </xf>
    <xf numFmtId="0" fontId="19" fillId="0" borderId="0" xfId="97" applyFont="1" applyFill="1">
      <alignment/>
      <protection/>
    </xf>
    <xf numFmtId="0" fontId="19" fillId="0" borderId="9" xfId="97" applyFont="1" applyFill="1" applyBorder="1" applyAlignment="1">
      <alignment horizontal="center" vertical="center" wrapText="1"/>
      <protection/>
    </xf>
    <xf numFmtId="0" fontId="19" fillId="0" borderId="15" xfId="97" applyFont="1" applyFill="1" applyBorder="1" applyAlignment="1">
      <alignment vertical="center" wrapText="1"/>
      <protection/>
    </xf>
    <xf numFmtId="0" fontId="19" fillId="0" borderId="15" xfId="97" applyFont="1" applyFill="1" applyBorder="1" applyAlignment="1">
      <alignment horizontal="center" vertical="center" wrapText="1"/>
      <protection/>
    </xf>
    <xf numFmtId="0" fontId="19" fillId="0" borderId="0" xfId="97" applyFont="1" applyFill="1" applyAlignment="1">
      <alignment vertical="center"/>
      <protection/>
    </xf>
    <xf numFmtId="3" fontId="56" fillId="0" borderId="15" xfId="97" applyNumberFormat="1" applyFont="1" applyFill="1" applyBorder="1" applyAlignment="1">
      <alignment horizontal="center" vertical="center"/>
      <protection/>
    </xf>
    <xf numFmtId="3" fontId="15" fillId="0" borderId="15" xfId="97" applyNumberFormat="1" applyFont="1" applyFill="1" applyBorder="1" applyAlignment="1">
      <alignment horizontal="center" vertical="center"/>
      <protection/>
    </xf>
    <xf numFmtId="0" fontId="19" fillId="0" borderId="18" xfId="97" applyFont="1" applyFill="1" applyBorder="1">
      <alignment/>
      <protection/>
    </xf>
    <xf numFmtId="0" fontId="6" fillId="0" borderId="9" xfId="0" applyFont="1" applyFill="1" applyBorder="1" applyAlignment="1">
      <alignment horizontal="center" vertical="center" wrapText="1"/>
    </xf>
    <xf numFmtId="0" fontId="19" fillId="35" borderId="24" xfId="97" applyFont="1" applyFill="1" applyBorder="1" applyAlignment="1">
      <alignment horizontal="center" vertical="center" wrapText="1"/>
      <protection/>
    </xf>
    <xf numFmtId="0" fontId="15" fillId="35" borderId="24" xfId="97" applyFont="1" applyFill="1" applyBorder="1" applyAlignment="1">
      <alignment horizontal="center" vertical="center" wrapText="1"/>
      <protection/>
    </xf>
    <xf numFmtId="0" fontId="6" fillId="35" borderId="24" xfId="0" applyFont="1" applyFill="1" applyBorder="1" applyAlignment="1">
      <alignment horizontal="center" vertical="center" wrapText="1"/>
    </xf>
    <xf numFmtId="0" fontId="19" fillId="35" borderId="0" xfId="97" applyFont="1" applyFill="1">
      <alignment/>
      <protection/>
    </xf>
    <xf numFmtId="0" fontId="35" fillId="0" borderId="18" xfId="97" applyFont="1" applyFill="1" applyBorder="1" applyAlignment="1">
      <alignment vertical="center" wrapText="1"/>
      <protection/>
    </xf>
    <xf numFmtId="3" fontId="19" fillId="0" borderId="18" xfId="97" applyNumberFormat="1" applyFont="1" applyFill="1" applyBorder="1" applyAlignment="1">
      <alignment horizontal="center" vertical="center"/>
      <protection/>
    </xf>
    <xf numFmtId="0" fontId="15" fillId="0" borderId="18" xfId="97" applyFont="1" applyFill="1" applyBorder="1" applyAlignment="1">
      <alignment horizontal="center" vertical="center" wrapText="1"/>
      <protection/>
    </xf>
    <xf numFmtId="3" fontId="15" fillId="0" borderId="18" xfId="97" applyNumberFormat="1" applyFont="1" applyFill="1" applyBorder="1" applyAlignment="1">
      <alignment horizontal="center" vertical="center"/>
      <protection/>
    </xf>
    <xf numFmtId="0" fontId="15" fillId="35" borderId="0" xfId="97" applyFont="1" applyFill="1">
      <alignment/>
      <protection/>
    </xf>
    <xf numFmtId="0" fontId="32" fillId="0" borderId="0" xfId="97" applyFont="1" applyFill="1" applyAlignment="1">
      <alignment horizontal="right" vertical="center"/>
      <protection/>
    </xf>
    <xf numFmtId="3" fontId="19" fillId="0" borderId="20" xfId="97" applyNumberFormat="1" applyFont="1" applyFill="1" applyBorder="1" applyAlignment="1">
      <alignment horizontal="center" vertical="center" wrapText="1"/>
      <protection/>
    </xf>
    <xf numFmtId="3" fontId="19" fillId="0" borderId="20" xfId="97" applyNumberFormat="1" applyFont="1" applyFill="1" applyBorder="1" applyAlignment="1">
      <alignment horizontal="center" vertical="center"/>
      <protection/>
    </xf>
    <xf numFmtId="0" fontId="15" fillId="35" borderId="11" xfId="97" applyFont="1" applyFill="1" applyBorder="1" applyAlignment="1">
      <alignment horizontal="center" vertical="center" wrapText="1"/>
      <protection/>
    </xf>
    <xf numFmtId="3" fontId="19" fillId="0" borderId="25" xfId="97" applyNumberFormat="1" applyFont="1" applyFill="1" applyBorder="1" applyAlignment="1">
      <alignment horizontal="center" vertical="center" wrapText="1"/>
      <protection/>
    </xf>
    <xf numFmtId="0" fontId="19" fillId="0" borderId="25" xfId="97" applyFont="1" applyFill="1" applyBorder="1" applyAlignment="1">
      <alignment horizontal="center" vertical="center" wrapText="1"/>
      <protection/>
    </xf>
    <xf numFmtId="3" fontId="19" fillId="0" borderId="25" xfId="97" applyNumberFormat="1" applyFont="1" applyFill="1" applyBorder="1" applyAlignment="1">
      <alignment horizontal="center" vertical="center"/>
      <protection/>
    </xf>
    <xf numFmtId="3" fontId="19" fillId="0" borderId="26" xfId="97" applyNumberFormat="1" applyFont="1" applyFill="1" applyBorder="1" applyAlignment="1">
      <alignment horizontal="center" vertical="center" wrapText="1"/>
      <protection/>
    </xf>
    <xf numFmtId="3" fontId="19" fillId="0" borderId="27" xfId="97" applyNumberFormat="1" applyFont="1" applyFill="1" applyBorder="1" applyAlignment="1">
      <alignment horizontal="center" vertical="center" wrapText="1"/>
      <protection/>
    </xf>
    <xf numFmtId="3" fontId="19" fillId="0" borderId="27" xfId="97" applyNumberFormat="1" applyFont="1" applyFill="1" applyBorder="1" applyAlignment="1">
      <alignment horizontal="center" vertical="center"/>
      <protection/>
    </xf>
    <xf numFmtId="3" fontId="19" fillId="0" borderId="28" xfId="97" applyNumberFormat="1" applyFont="1" applyFill="1" applyBorder="1" applyAlignment="1">
      <alignment horizontal="center" vertical="center"/>
      <protection/>
    </xf>
    <xf numFmtId="3" fontId="19" fillId="0" borderId="26" xfId="97" applyNumberFormat="1" applyFont="1" applyFill="1" applyBorder="1" applyAlignment="1">
      <alignment horizontal="center" vertical="center"/>
      <protection/>
    </xf>
    <xf numFmtId="0" fontId="6" fillId="35" borderId="11" xfId="0" applyFont="1" applyFill="1" applyBorder="1" applyAlignment="1">
      <alignment horizontal="center" vertical="center" wrapText="1"/>
    </xf>
    <xf numFmtId="3" fontId="19" fillId="0" borderId="29" xfId="97" applyNumberFormat="1" applyFont="1" applyFill="1" applyBorder="1" applyAlignment="1">
      <alignment horizontal="center" vertical="center"/>
      <protection/>
    </xf>
    <xf numFmtId="0" fontId="15" fillId="0" borderId="26" xfId="97" applyFont="1" applyFill="1" applyBorder="1" applyAlignment="1">
      <alignment horizontal="center" vertical="center"/>
      <protection/>
    </xf>
    <xf numFmtId="0" fontId="15" fillId="0" borderId="27" xfId="97" applyFont="1" applyFill="1" applyBorder="1" applyAlignment="1">
      <alignment horizontal="center" vertical="center"/>
      <protection/>
    </xf>
    <xf numFmtId="3" fontId="19" fillId="0" borderId="20" xfId="97" applyNumberFormat="1" applyFont="1" applyFill="1" applyBorder="1" applyAlignment="1">
      <alignment vertical="center"/>
      <protection/>
    </xf>
    <xf numFmtId="3" fontId="19" fillId="0" borderId="28" xfId="97" applyNumberFormat="1" applyFont="1" applyFill="1" applyBorder="1" applyAlignment="1">
      <alignment horizontal="center" vertical="center" wrapText="1"/>
      <protection/>
    </xf>
    <xf numFmtId="0" fontId="15" fillId="0" borderId="28" xfId="97" applyFont="1" applyFill="1" applyBorder="1" applyAlignment="1">
      <alignment horizontal="center" vertical="center"/>
      <protection/>
    </xf>
    <xf numFmtId="0" fontId="32" fillId="0" borderId="0" xfId="97" applyFont="1" applyFill="1" applyAlignment="1">
      <alignment vertical="center"/>
      <protection/>
    </xf>
    <xf numFmtId="3" fontId="19" fillId="0" borderId="30" xfId="97" applyNumberFormat="1" applyFont="1" applyFill="1" applyBorder="1" applyAlignment="1">
      <alignment horizontal="right" vertical="center"/>
      <protection/>
    </xf>
    <xf numFmtId="3" fontId="19" fillId="0" borderId="25" xfId="97" applyNumberFormat="1" applyFont="1" applyFill="1" applyBorder="1" applyAlignment="1">
      <alignment horizontal="right" vertical="center"/>
      <protection/>
    </xf>
    <xf numFmtId="3" fontId="19" fillId="0" borderId="30" xfId="97" applyNumberFormat="1" applyFont="1" applyFill="1" applyBorder="1" applyAlignment="1">
      <alignment horizontal="right" vertical="center" wrapText="1"/>
      <protection/>
    </xf>
    <xf numFmtId="3" fontId="19" fillId="0" borderId="25" xfId="97" applyNumberFormat="1" applyFont="1" applyFill="1" applyBorder="1" applyAlignment="1">
      <alignment horizontal="right" vertical="center" wrapText="1"/>
      <protection/>
    </xf>
    <xf numFmtId="3" fontId="19" fillId="0" borderId="31" xfId="97" applyNumberFormat="1" applyFont="1" applyFill="1" applyBorder="1" applyAlignment="1">
      <alignment horizontal="left" vertical="center" wrapText="1"/>
      <protection/>
    </xf>
    <xf numFmtId="3" fontId="19" fillId="0" borderId="20" xfId="97" applyNumberFormat="1" applyFont="1" applyFill="1" applyBorder="1" applyAlignment="1">
      <alignment horizontal="left" vertical="center" wrapText="1"/>
      <protection/>
    </xf>
    <xf numFmtId="3" fontId="19" fillId="0" borderId="31" xfId="97" applyNumberFormat="1" applyFont="1" applyFill="1" applyBorder="1" applyAlignment="1">
      <alignment horizontal="left" vertical="center"/>
      <protection/>
    </xf>
    <xf numFmtId="3" fontId="19" fillId="0" borderId="20" xfId="97" applyNumberFormat="1" applyFont="1" applyFill="1" applyBorder="1" applyAlignment="1">
      <alignment horizontal="left" vertical="center"/>
      <protection/>
    </xf>
    <xf numFmtId="3" fontId="19" fillId="0" borderId="22" xfId="97" applyNumberFormat="1" applyFont="1" applyFill="1" applyBorder="1" applyAlignment="1">
      <alignment horizontal="left" vertical="center"/>
      <protection/>
    </xf>
    <xf numFmtId="3" fontId="19" fillId="0" borderId="22" xfId="97" applyNumberFormat="1" applyFont="1" applyFill="1" applyBorder="1" applyAlignment="1">
      <alignment horizontal="left" vertical="center" wrapText="1"/>
      <protection/>
    </xf>
    <xf numFmtId="3" fontId="19" fillId="0" borderId="32" xfId="97" applyNumberFormat="1" applyFont="1" applyFill="1" applyBorder="1" applyAlignment="1">
      <alignment horizontal="right" vertical="center" wrapText="1"/>
      <protection/>
    </xf>
    <xf numFmtId="3" fontId="19" fillId="0" borderId="32" xfId="97" applyNumberFormat="1" applyFont="1" applyFill="1" applyBorder="1" applyAlignment="1">
      <alignment horizontal="right" vertical="center"/>
      <protection/>
    </xf>
    <xf numFmtId="0" fontId="63" fillId="36" borderId="0" xfId="93" applyFont="1" applyFill="1" applyAlignment="1">
      <alignment vertical="center" wrapText="1"/>
      <protection/>
    </xf>
    <xf numFmtId="0" fontId="20" fillId="36" borderId="0" xfId="93" applyFont="1" applyFill="1" applyAlignment="1">
      <alignment vertical="center" wrapText="1"/>
      <protection/>
    </xf>
    <xf numFmtId="0" fontId="20" fillId="36" borderId="0" xfId="93" applyFont="1" applyFill="1" applyAlignment="1">
      <alignment horizontal="center" vertical="center" wrapText="1"/>
      <protection/>
    </xf>
    <xf numFmtId="0" fontId="20" fillId="36" borderId="0" xfId="93" applyFont="1" applyFill="1" applyBorder="1" applyAlignment="1">
      <alignment vertical="center" wrapText="1"/>
      <protection/>
    </xf>
    <xf numFmtId="0" fontId="57" fillId="36" borderId="0" xfId="93" applyNumberFormat="1" applyFont="1" applyFill="1" applyBorder="1" applyAlignment="1">
      <alignment horizontal="right" vertical="center" wrapText="1"/>
      <protection/>
    </xf>
    <xf numFmtId="0" fontId="58" fillId="36" borderId="9" xfId="93" applyFont="1" applyFill="1" applyBorder="1" applyAlignment="1">
      <alignment horizontal="center" vertical="center" wrapText="1"/>
      <protection/>
    </xf>
    <xf numFmtId="0" fontId="58" fillId="36" borderId="9" xfId="93" applyNumberFormat="1" applyFont="1" applyFill="1" applyBorder="1" applyAlignment="1">
      <alignment horizontal="center" vertical="center" wrapText="1"/>
      <protection/>
    </xf>
    <xf numFmtId="0" fontId="58" fillId="36" borderId="0" xfId="93" applyFont="1" applyFill="1" applyAlignment="1">
      <alignment vertical="center" wrapText="1"/>
      <protection/>
    </xf>
    <xf numFmtId="0" fontId="58" fillId="36" borderId="23" xfId="93" applyFont="1" applyFill="1" applyBorder="1" applyAlignment="1">
      <alignment horizontal="center" vertical="center" wrapText="1"/>
      <protection/>
    </xf>
    <xf numFmtId="0" fontId="58" fillId="36" borderId="23" xfId="93" applyFont="1" applyFill="1" applyBorder="1" applyAlignment="1">
      <alignment vertical="center" wrapText="1"/>
      <protection/>
    </xf>
    <xf numFmtId="3" fontId="58" fillId="36" borderId="23" xfId="93" applyNumberFormat="1" applyFont="1" applyFill="1" applyBorder="1" applyAlignment="1">
      <alignment vertical="center" wrapText="1"/>
      <protection/>
    </xf>
    <xf numFmtId="0" fontId="20" fillId="36" borderId="15" xfId="93" applyFont="1" applyFill="1" applyBorder="1" applyAlignment="1">
      <alignment horizontal="center" vertical="center" wrapText="1"/>
      <protection/>
    </xf>
    <xf numFmtId="175" fontId="20" fillId="36" borderId="0" xfId="93" applyNumberFormat="1" applyFont="1" applyFill="1" applyAlignment="1">
      <alignment horizontal="left" vertical="center" wrapText="1"/>
      <protection/>
    </xf>
    <xf numFmtId="0" fontId="20" fillId="36" borderId="0" xfId="93" applyFont="1" applyFill="1" applyAlignment="1">
      <alignment horizontal="right" vertical="center" wrapText="1"/>
      <protection/>
    </xf>
    <xf numFmtId="0" fontId="20" fillId="36" borderId="0" xfId="93" applyFont="1" applyFill="1" applyAlignment="1">
      <alignment horizontal="left" vertical="center" wrapText="1"/>
      <protection/>
    </xf>
    <xf numFmtId="0" fontId="57" fillId="36" borderId="15" xfId="93" applyFont="1" applyFill="1" applyBorder="1" applyAlignment="1">
      <alignment horizontal="center" vertical="center" wrapText="1"/>
      <protection/>
    </xf>
    <xf numFmtId="0" fontId="57" fillId="36" borderId="0" xfId="93" applyFont="1" applyFill="1" applyAlignment="1">
      <alignment horizontal="left" vertical="center" wrapText="1"/>
      <protection/>
    </xf>
    <xf numFmtId="0" fontId="57" fillId="36" borderId="0" xfId="93" applyFont="1" applyFill="1" applyAlignment="1">
      <alignment horizontal="right" vertical="center" wrapText="1"/>
      <protection/>
    </xf>
    <xf numFmtId="0" fontId="57" fillId="36" borderId="0" xfId="93" applyFont="1" applyFill="1" applyAlignment="1">
      <alignment vertical="center" wrapText="1"/>
      <protection/>
    </xf>
    <xf numFmtId="0" fontId="9" fillId="36" borderId="15" xfId="93" applyFont="1" applyFill="1" applyBorder="1" applyAlignment="1">
      <alignment horizontal="center" vertical="center" wrapText="1"/>
      <protection/>
    </xf>
    <xf numFmtId="0" fontId="9" fillId="36" borderId="25" xfId="93" applyFont="1" applyFill="1" applyBorder="1" applyAlignment="1">
      <alignment horizontal="center" vertical="center" wrapText="1"/>
      <protection/>
    </xf>
    <xf numFmtId="0" fontId="9" fillId="36" borderId="20" xfId="93" applyNumberFormat="1" applyFont="1" applyFill="1" applyBorder="1" applyAlignment="1">
      <alignment vertical="center" wrapText="1"/>
      <protection/>
    </xf>
    <xf numFmtId="1" fontId="9" fillId="36" borderId="15" xfId="93" applyNumberFormat="1" applyFont="1" applyFill="1" applyBorder="1" applyAlignment="1">
      <alignment horizontal="right" vertical="center" wrapText="1"/>
      <protection/>
    </xf>
    <xf numFmtId="0" fontId="59" fillId="36" borderId="15" xfId="93" applyFont="1" applyFill="1" applyBorder="1" applyAlignment="1">
      <alignment horizontal="center" vertical="center" wrapText="1"/>
      <protection/>
    </xf>
    <xf numFmtId="0" fontId="59" fillId="36" borderId="25" xfId="93" applyFont="1" applyFill="1" applyBorder="1" applyAlignment="1">
      <alignment horizontal="center" vertical="center" wrapText="1"/>
      <protection/>
    </xf>
    <xf numFmtId="0" fontId="59" fillId="36" borderId="20" xfId="93" applyNumberFormat="1" applyFont="1" applyFill="1" applyBorder="1" applyAlignment="1">
      <alignment vertical="center" wrapText="1"/>
      <protection/>
    </xf>
    <xf numFmtId="1" fontId="20" fillId="36" borderId="0" xfId="93" applyNumberFormat="1" applyFont="1" applyFill="1" applyAlignment="1">
      <alignment vertical="center" wrapText="1"/>
      <protection/>
    </xf>
    <xf numFmtId="0" fontId="59" fillId="36" borderId="25" xfId="93" applyFont="1" applyFill="1" applyBorder="1" applyAlignment="1">
      <alignment horizontal="right" vertical="center" wrapText="1"/>
      <protection/>
    </xf>
    <xf numFmtId="0" fontId="9" fillId="36" borderId="25" xfId="93" applyFont="1" applyFill="1" applyBorder="1" applyAlignment="1">
      <alignment horizontal="right" vertical="center" wrapText="1"/>
      <protection/>
    </xf>
    <xf numFmtId="1" fontId="9" fillId="36" borderId="15" xfId="93" applyNumberFormat="1" applyFont="1" applyFill="1" applyBorder="1" applyAlignment="1">
      <alignment horizontal="left" vertical="center" wrapText="1"/>
      <protection/>
    </xf>
    <xf numFmtId="1" fontId="20" fillId="36" borderId="0" xfId="93" applyNumberFormat="1" applyFont="1" applyFill="1" applyAlignment="1">
      <alignment horizontal="left" vertical="center" wrapText="1"/>
      <protection/>
    </xf>
    <xf numFmtId="0" fontId="59" fillId="36" borderId="33" xfId="93" applyFont="1" applyFill="1" applyBorder="1" applyAlignment="1">
      <alignment horizontal="center" vertical="center" wrapText="1"/>
      <protection/>
    </xf>
    <xf numFmtId="3" fontId="9" fillId="36" borderId="15" xfId="93" applyNumberFormat="1" applyFont="1" applyFill="1" applyBorder="1" applyAlignment="1">
      <alignment horizontal="right" vertical="center" wrapText="1"/>
      <protection/>
    </xf>
    <xf numFmtId="0" fontId="20" fillId="36" borderId="32" xfId="93" applyFont="1" applyFill="1" applyBorder="1" applyAlignment="1">
      <alignment horizontal="center" vertical="center" wrapText="1"/>
      <protection/>
    </xf>
    <xf numFmtId="0" fontId="20" fillId="36" borderId="34" xfId="93" applyFont="1" applyFill="1" applyBorder="1" applyAlignment="1">
      <alignment horizontal="center" vertical="center" wrapText="1"/>
      <protection/>
    </xf>
    <xf numFmtId="0" fontId="20" fillId="36" borderId="22" xfId="93" applyFont="1" applyFill="1" applyBorder="1" applyAlignment="1">
      <alignment vertical="center" wrapText="1"/>
      <protection/>
    </xf>
    <xf numFmtId="177" fontId="20" fillId="36" borderId="18" xfId="93" applyNumberFormat="1" applyFont="1" applyFill="1" applyBorder="1" applyAlignment="1">
      <alignment vertical="center" wrapText="1"/>
      <protection/>
    </xf>
    <xf numFmtId="0" fontId="20" fillId="36" borderId="18" xfId="93" applyFont="1" applyFill="1" applyBorder="1" applyAlignment="1">
      <alignment vertical="center" wrapText="1"/>
      <protection/>
    </xf>
    <xf numFmtId="0" fontId="65" fillId="36" borderId="0" xfId="93" applyFont="1" applyFill="1" applyAlignment="1">
      <alignment vertical="center" wrapText="1"/>
      <protection/>
    </xf>
    <xf numFmtId="0" fontId="58" fillId="36" borderId="0" xfId="96" applyFont="1" applyFill="1" applyAlignment="1">
      <alignment horizontal="center" vertical="center"/>
      <protection/>
    </xf>
    <xf numFmtId="0" fontId="20" fillId="36" borderId="0" xfId="96" applyFont="1" applyFill="1" applyAlignment="1">
      <alignment vertical="center"/>
      <protection/>
    </xf>
    <xf numFmtId="0" fontId="58" fillId="36" borderId="0" xfId="96" applyFont="1" applyFill="1" applyAlignment="1">
      <alignment horizontal="center" vertical="center" wrapText="1"/>
      <protection/>
    </xf>
    <xf numFmtId="175" fontId="58" fillId="36" borderId="0" xfId="96" applyNumberFormat="1" applyFont="1" applyFill="1" applyAlignment="1">
      <alignment horizontal="center" vertical="center"/>
      <protection/>
    </xf>
    <xf numFmtId="174" fontId="58" fillId="36" borderId="0" xfId="51" applyNumberFormat="1" applyFont="1" applyFill="1" applyAlignment="1">
      <alignment horizontal="center" vertical="center"/>
    </xf>
    <xf numFmtId="0" fontId="20" fillId="36" borderId="1" xfId="96" applyFont="1" applyFill="1" applyBorder="1" applyAlignment="1">
      <alignment horizontal="center" vertical="center"/>
      <protection/>
    </xf>
    <xf numFmtId="49" fontId="20" fillId="36" borderId="1" xfId="96" applyNumberFormat="1" applyFont="1" applyFill="1" applyBorder="1" applyAlignment="1">
      <alignment vertical="center" wrapText="1"/>
      <protection/>
    </xf>
    <xf numFmtId="175" fontId="20" fillId="36" borderId="0" xfId="96" applyNumberFormat="1" applyFont="1" applyFill="1" applyAlignment="1">
      <alignment vertical="center" wrapText="1"/>
      <protection/>
    </xf>
    <xf numFmtId="49" fontId="20" fillId="36" borderId="0" xfId="96" applyNumberFormat="1" applyFont="1" applyFill="1" applyAlignment="1">
      <alignment vertical="center" wrapText="1"/>
      <protection/>
    </xf>
    <xf numFmtId="43" fontId="20" fillId="36" borderId="0" xfId="56" applyFont="1" applyFill="1" applyAlignment="1">
      <alignment vertical="center"/>
    </xf>
    <xf numFmtId="174" fontId="20" fillId="36" borderId="0" xfId="51" applyNumberFormat="1" applyFont="1" applyFill="1" applyAlignment="1">
      <alignment vertical="center"/>
    </xf>
    <xf numFmtId="0" fontId="58" fillId="36" borderId="9" xfId="96" applyFont="1" applyFill="1" applyBorder="1" applyAlignment="1">
      <alignment horizontal="center" vertical="center" wrapText="1"/>
      <protection/>
    </xf>
    <xf numFmtId="49" fontId="58" fillId="36" borderId="9" xfId="96" applyNumberFormat="1" applyFont="1" applyFill="1" applyBorder="1" applyAlignment="1">
      <alignment horizontal="center" vertical="center" wrapText="1"/>
      <protection/>
    </xf>
    <xf numFmtId="175" fontId="58" fillId="36" borderId="9" xfId="96" applyNumberFormat="1" applyFont="1" applyFill="1" applyBorder="1" applyAlignment="1">
      <alignment horizontal="center" vertical="center" wrapText="1"/>
      <protection/>
    </xf>
    <xf numFmtId="1" fontId="58" fillId="36" borderId="9" xfId="96" applyNumberFormat="1" applyFont="1" applyFill="1" applyBorder="1" applyAlignment="1">
      <alignment horizontal="center" vertical="center" wrapText="1"/>
      <protection/>
    </xf>
    <xf numFmtId="1" fontId="58" fillId="36" borderId="9" xfId="56" applyNumberFormat="1" applyFont="1" applyFill="1" applyBorder="1" applyAlignment="1">
      <alignment horizontal="center" vertical="center" wrapText="1"/>
    </xf>
    <xf numFmtId="1" fontId="58" fillId="36" borderId="9" xfId="51" applyNumberFormat="1" applyFont="1" applyFill="1" applyBorder="1" applyAlignment="1">
      <alignment horizontal="center" vertical="center" wrapText="1"/>
    </xf>
    <xf numFmtId="1" fontId="58" fillId="36" borderId="0" xfId="51" applyNumberFormat="1" applyFont="1" applyFill="1" applyBorder="1" applyAlignment="1">
      <alignment horizontal="center" vertical="center" wrapText="1"/>
    </xf>
    <xf numFmtId="0" fontId="58" fillId="36" borderId="0" xfId="96" applyFont="1" applyFill="1" applyAlignment="1">
      <alignment vertical="center" wrapText="1"/>
      <protection/>
    </xf>
    <xf numFmtId="0" fontId="58" fillId="36" borderId="23" xfId="96" applyFont="1" applyFill="1" applyBorder="1" applyAlignment="1">
      <alignment horizontal="center" vertical="center"/>
      <protection/>
    </xf>
    <xf numFmtId="49" fontId="58" fillId="36" borderId="23" xfId="96" applyNumberFormat="1" applyFont="1" applyFill="1" applyBorder="1" applyAlignment="1">
      <alignment horizontal="center" vertical="center" wrapText="1"/>
      <protection/>
    </xf>
    <xf numFmtId="175" fontId="58" fillId="36" borderId="23" xfId="96" applyNumberFormat="1" applyFont="1" applyFill="1" applyBorder="1" applyAlignment="1">
      <alignment horizontal="center" vertical="center" wrapText="1"/>
      <protection/>
    </xf>
    <xf numFmtId="175" fontId="58" fillId="36" borderId="23" xfId="56" applyNumberFormat="1" applyFont="1" applyFill="1" applyBorder="1" applyAlignment="1">
      <alignment vertical="center"/>
    </xf>
    <xf numFmtId="174" fontId="58" fillId="36" borderId="23" xfId="56" applyNumberFormat="1" applyFont="1" applyFill="1" applyBorder="1" applyAlignment="1">
      <alignment vertical="center"/>
    </xf>
    <xf numFmtId="178" fontId="58" fillId="36" borderId="23" xfId="51" applyNumberFormat="1" applyFont="1" applyFill="1" applyBorder="1" applyAlignment="1">
      <alignment vertical="center"/>
    </xf>
    <xf numFmtId="178" fontId="58" fillId="36" borderId="0" xfId="51" applyNumberFormat="1" applyFont="1" applyFill="1" applyBorder="1" applyAlignment="1">
      <alignment vertical="center"/>
    </xf>
    <xf numFmtId="0" fontId="58" fillId="36" borderId="0" xfId="96" applyFont="1" applyFill="1" applyAlignment="1">
      <alignment vertical="center"/>
      <protection/>
    </xf>
    <xf numFmtId="3" fontId="58" fillId="36" borderId="0" xfId="96" applyNumberFormat="1" applyFont="1" applyFill="1" applyAlignment="1">
      <alignment vertical="center"/>
      <protection/>
    </xf>
    <xf numFmtId="0" fontId="58" fillId="36" borderId="15" xfId="96" applyFont="1" applyFill="1" applyBorder="1" applyAlignment="1">
      <alignment horizontal="center" vertical="center"/>
      <protection/>
    </xf>
    <xf numFmtId="49" fontId="58" fillId="36" borderId="15" xfId="96" applyNumberFormat="1" applyFont="1" applyFill="1" applyBorder="1" applyAlignment="1">
      <alignment horizontal="right" vertical="center" wrapText="1"/>
      <protection/>
    </xf>
    <xf numFmtId="175" fontId="58" fillId="36" borderId="15" xfId="96" applyNumberFormat="1" applyFont="1" applyFill="1" applyBorder="1" applyAlignment="1">
      <alignment vertical="center" wrapText="1"/>
      <protection/>
    </xf>
    <xf numFmtId="175" fontId="58" fillId="36" borderId="15" xfId="56" applyNumberFormat="1" applyFont="1" applyFill="1" applyBorder="1" applyAlignment="1">
      <alignment horizontal="left" vertical="center"/>
    </xf>
    <xf numFmtId="175" fontId="58" fillId="36" borderId="15" xfId="56" applyNumberFormat="1" applyFont="1" applyFill="1" applyBorder="1" applyAlignment="1">
      <alignment vertical="center"/>
    </xf>
    <xf numFmtId="174" fontId="58" fillId="36" borderId="15" xfId="56" applyNumberFormat="1" applyFont="1" applyFill="1" applyBorder="1" applyAlignment="1">
      <alignment vertical="center"/>
    </xf>
    <xf numFmtId="174" fontId="58" fillId="36" borderId="15" xfId="51" applyNumberFormat="1" applyFont="1" applyFill="1" applyBorder="1" applyAlignment="1">
      <alignment vertical="center"/>
    </xf>
    <xf numFmtId="174" fontId="58" fillId="36" borderId="0" xfId="51" applyNumberFormat="1" applyFont="1" applyFill="1" applyBorder="1" applyAlignment="1">
      <alignment vertical="center"/>
    </xf>
    <xf numFmtId="0" fontId="39" fillId="36" borderId="0" xfId="96" applyFont="1" applyFill="1" applyAlignment="1">
      <alignment horizontal="right" vertical="center"/>
      <protection/>
    </xf>
    <xf numFmtId="0" fontId="39" fillId="36" borderId="0" xfId="96" applyFont="1" applyFill="1" applyAlignment="1">
      <alignment vertical="center"/>
      <protection/>
    </xf>
    <xf numFmtId="0" fontId="39" fillId="36" borderId="0" xfId="96" applyFont="1" applyFill="1" applyAlignment="1">
      <alignment horizontal="left" vertical="center"/>
      <protection/>
    </xf>
    <xf numFmtId="0" fontId="20" fillId="36" borderId="15" xfId="96" applyFont="1" applyFill="1" applyBorder="1" applyAlignment="1">
      <alignment horizontal="center" vertical="center"/>
      <protection/>
    </xf>
    <xf numFmtId="49" fontId="20" fillId="36" borderId="15" xfId="96" applyNumberFormat="1" applyFont="1" applyFill="1" applyBorder="1" applyAlignment="1">
      <alignment horizontal="right" vertical="center" wrapText="1"/>
      <protection/>
    </xf>
    <xf numFmtId="175" fontId="20" fillId="36" borderId="15" xfId="96" applyNumberFormat="1" applyFont="1" applyFill="1" applyBorder="1" applyAlignment="1">
      <alignment vertical="center" wrapText="1"/>
      <protection/>
    </xf>
    <xf numFmtId="175" fontId="20" fillId="36" borderId="15" xfId="56" applyNumberFormat="1" applyFont="1" applyFill="1" applyBorder="1" applyAlignment="1">
      <alignment horizontal="left" vertical="center"/>
    </xf>
    <xf numFmtId="175" fontId="20" fillId="36" borderId="15" xfId="56" applyNumberFormat="1" applyFont="1" applyFill="1" applyBorder="1" applyAlignment="1">
      <alignment vertical="center"/>
    </xf>
    <xf numFmtId="174" fontId="20" fillId="36" borderId="15" xfId="56" applyNumberFormat="1" applyFont="1" applyFill="1" applyBorder="1" applyAlignment="1">
      <alignment vertical="center"/>
    </xf>
    <xf numFmtId="174" fontId="20" fillId="36" borderId="15" xfId="51" applyNumberFormat="1" applyFont="1" applyFill="1" applyBorder="1" applyAlignment="1">
      <alignment vertical="center"/>
    </xf>
    <xf numFmtId="174" fontId="20" fillId="36" borderId="0" xfId="51" applyNumberFormat="1" applyFont="1" applyFill="1" applyBorder="1" applyAlignment="1">
      <alignment vertical="center"/>
    </xf>
    <xf numFmtId="0" fontId="20" fillId="36" borderId="0" xfId="96" applyFont="1" applyFill="1" applyAlignment="1">
      <alignment horizontal="right" vertical="center"/>
      <protection/>
    </xf>
    <xf numFmtId="0" fontId="20" fillId="36" borderId="0" xfId="96" applyFont="1" applyFill="1" applyAlignment="1">
      <alignment horizontal="left" vertical="center"/>
      <protection/>
    </xf>
    <xf numFmtId="49" fontId="20" fillId="36" borderId="15" xfId="96" applyNumberFormat="1" applyFont="1" applyFill="1" applyBorder="1" applyAlignment="1">
      <alignment vertical="center" wrapText="1"/>
      <protection/>
    </xf>
    <xf numFmtId="49" fontId="20" fillId="36" borderId="15" xfId="96" applyNumberFormat="1" applyFont="1" applyFill="1" applyBorder="1" applyAlignment="1" quotePrefix="1">
      <alignment vertical="center" wrapText="1"/>
      <protection/>
    </xf>
    <xf numFmtId="175" fontId="20" fillId="36" borderId="15" xfId="96" applyNumberFormat="1" applyFont="1" applyFill="1" applyBorder="1" applyAlignment="1" quotePrefix="1">
      <alignment vertical="center" wrapText="1"/>
      <protection/>
    </xf>
    <xf numFmtId="49" fontId="9" fillId="36" borderId="15" xfId="96" applyNumberFormat="1" applyFont="1" applyFill="1" applyBorder="1" applyAlignment="1" quotePrefix="1">
      <alignment vertical="center" wrapText="1"/>
      <protection/>
    </xf>
    <xf numFmtId="175" fontId="9" fillId="36" borderId="15" xfId="96" applyNumberFormat="1" applyFont="1" applyFill="1" applyBorder="1" applyAlignment="1" quotePrefix="1">
      <alignment vertical="center" wrapText="1"/>
      <protection/>
    </xf>
    <xf numFmtId="49" fontId="58" fillId="36" borderId="15" xfId="96" applyNumberFormat="1" applyFont="1" applyFill="1" applyBorder="1" applyAlignment="1">
      <alignment vertical="center" wrapText="1"/>
      <protection/>
    </xf>
    <xf numFmtId="198" fontId="58" fillId="36" borderId="15" xfId="96" applyNumberFormat="1" applyFont="1" applyFill="1" applyBorder="1" applyAlignment="1">
      <alignment vertical="center" wrapText="1"/>
      <protection/>
    </xf>
    <xf numFmtId="3" fontId="58" fillId="36" borderId="15" xfId="96" applyNumberFormat="1" applyFont="1" applyFill="1" applyBorder="1" applyAlignment="1">
      <alignment vertical="center" wrapText="1"/>
      <protection/>
    </xf>
    <xf numFmtId="0" fontId="57" fillId="36" borderId="15" xfId="96" applyFont="1" applyFill="1" applyBorder="1" applyAlignment="1">
      <alignment horizontal="center" vertical="center"/>
      <protection/>
    </xf>
    <xf numFmtId="49" fontId="57" fillId="36" borderId="15" xfId="96" applyNumberFormat="1" applyFont="1" applyFill="1" applyBorder="1" applyAlignment="1">
      <alignment horizontal="right" vertical="center" wrapText="1"/>
      <protection/>
    </xf>
    <xf numFmtId="175" fontId="57" fillId="36" borderId="15" xfId="96" applyNumberFormat="1" applyFont="1" applyFill="1" applyBorder="1" applyAlignment="1">
      <alignment vertical="center" wrapText="1"/>
      <protection/>
    </xf>
    <xf numFmtId="175" fontId="57" fillId="36" borderId="15" xfId="96" applyNumberFormat="1" applyFont="1" applyFill="1" applyBorder="1" applyAlignment="1">
      <alignment horizontal="left" vertical="center" wrapText="1"/>
      <protection/>
    </xf>
    <xf numFmtId="174" fontId="57" fillId="36" borderId="0" xfId="51" applyNumberFormat="1" applyFont="1" applyFill="1" applyBorder="1" applyAlignment="1">
      <alignment horizontal="center" vertical="center"/>
    </xf>
    <xf numFmtId="0" fontId="57" fillId="36" borderId="0" xfId="96" applyFont="1" applyFill="1" applyAlignment="1">
      <alignment horizontal="right" vertical="center"/>
      <protection/>
    </xf>
    <xf numFmtId="0" fontId="57" fillId="36" borderId="0" xfId="96" applyFont="1" applyFill="1" applyAlignment="1">
      <alignment vertical="center"/>
      <protection/>
    </xf>
    <xf numFmtId="0" fontId="57" fillId="36" borderId="0" xfId="96" applyFont="1" applyFill="1" applyAlignment="1">
      <alignment horizontal="left" vertical="center"/>
      <protection/>
    </xf>
    <xf numFmtId="3" fontId="20" fillId="36" borderId="15" xfId="56" applyNumberFormat="1" applyFont="1" applyFill="1" applyBorder="1" applyAlignment="1">
      <alignment vertical="center"/>
    </xf>
    <xf numFmtId="3" fontId="20" fillId="36" borderId="15" xfId="56" applyNumberFormat="1" applyFont="1" applyFill="1" applyBorder="1" applyAlignment="1">
      <alignment horizontal="left" vertical="center"/>
    </xf>
    <xf numFmtId="174" fontId="20" fillId="36" borderId="0" xfId="51" applyNumberFormat="1" applyFont="1" applyFill="1" applyBorder="1" applyAlignment="1">
      <alignment horizontal="center" vertical="center"/>
    </xf>
    <xf numFmtId="175" fontId="57" fillId="36" borderId="15" xfId="56" applyNumberFormat="1" applyFont="1" applyFill="1" applyBorder="1" applyAlignment="1">
      <alignment vertical="center"/>
    </xf>
    <xf numFmtId="174" fontId="57" fillId="36" borderId="0" xfId="51" applyNumberFormat="1" applyFont="1" applyFill="1" applyBorder="1" applyAlignment="1">
      <alignment vertical="center"/>
    </xf>
    <xf numFmtId="49" fontId="57" fillId="36" borderId="15" xfId="96" applyNumberFormat="1" applyFont="1" applyFill="1" applyBorder="1" applyAlignment="1">
      <alignment vertical="center" wrapText="1"/>
      <protection/>
    </xf>
    <xf numFmtId="3" fontId="58" fillId="36" borderId="15" xfId="56" applyNumberFormat="1" applyFont="1" applyFill="1" applyBorder="1" applyAlignment="1">
      <alignment vertical="center"/>
    </xf>
    <xf numFmtId="0" fontId="58" fillId="36" borderId="19" xfId="96" applyFont="1" applyFill="1" applyBorder="1" applyAlignment="1">
      <alignment horizontal="center" vertical="center"/>
      <protection/>
    </xf>
    <xf numFmtId="49" fontId="58" fillId="36" borderId="19" xfId="96" applyNumberFormat="1" applyFont="1" applyFill="1" applyBorder="1" applyAlignment="1">
      <alignment vertical="center" wrapText="1"/>
      <protection/>
    </xf>
    <xf numFmtId="175" fontId="58" fillId="36" borderId="19" xfId="96" applyNumberFormat="1" applyFont="1" applyFill="1" applyBorder="1" applyAlignment="1">
      <alignment vertical="center" wrapText="1"/>
      <protection/>
    </xf>
    <xf numFmtId="175" fontId="58" fillId="36" borderId="19" xfId="56" applyNumberFormat="1" applyFont="1" applyFill="1" applyBorder="1" applyAlignment="1">
      <alignment vertical="center"/>
    </xf>
    <xf numFmtId="174" fontId="58" fillId="36" borderId="19" xfId="56" applyNumberFormat="1" applyFont="1" applyFill="1" applyBorder="1" applyAlignment="1">
      <alignment vertical="center"/>
    </xf>
    <xf numFmtId="174" fontId="58" fillId="36" borderId="19" xfId="51" applyNumberFormat="1" applyFont="1" applyFill="1" applyBorder="1" applyAlignment="1">
      <alignment vertical="center"/>
    </xf>
    <xf numFmtId="0" fontId="20" fillId="36" borderId="23" xfId="96" applyFont="1" applyFill="1" applyBorder="1" applyAlignment="1">
      <alignment horizontal="center" vertical="center"/>
      <protection/>
    </xf>
    <xf numFmtId="49" fontId="20" fillId="36" borderId="23" xfId="96" applyNumberFormat="1" applyFont="1" applyFill="1" applyBorder="1" applyAlignment="1">
      <alignment vertical="center" wrapText="1"/>
      <protection/>
    </xf>
    <xf numFmtId="175" fontId="20" fillId="36" borderId="23" xfId="96" applyNumberFormat="1" applyFont="1" applyFill="1" applyBorder="1" applyAlignment="1">
      <alignment vertical="center" wrapText="1"/>
      <protection/>
    </xf>
    <xf numFmtId="175" fontId="39" fillId="36" borderId="23" xfId="56" applyNumberFormat="1" applyFont="1" applyFill="1" applyBorder="1" applyAlignment="1">
      <alignment vertical="center"/>
    </xf>
    <xf numFmtId="175" fontId="20" fillId="36" borderId="23" xfId="56" applyNumberFormat="1" applyFont="1" applyFill="1" applyBorder="1" applyAlignment="1">
      <alignment vertical="center"/>
    </xf>
    <xf numFmtId="174" fontId="20" fillId="36" borderId="23" xfId="56" applyNumberFormat="1" applyFont="1" applyFill="1" applyBorder="1" applyAlignment="1">
      <alignment vertical="center"/>
    </xf>
    <xf numFmtId="174" fontId="20" fillId="36" borderId="23" xfId="51" applyNumberFormat="1" applyFont="1" applyFill="1" applyBorder="1" applyAlignment="1">
      <alignment vertical="center"/>
    </xf>
    <xf numFmtId="0" fontId="20" fillId="36" borderId="18" xfId="96" applyFont="1" applyFill="1" applyBorder="1" applyAlignment="1">
      <alignment horizontal="center" vertical="center"/>
      <protection/>
    </xf>
    <xf numFmtId="49" fontId="20" fillId="36" borderId="18" xfId="96" applyNumberFormat="1" applyFont="1" applyFill="1" applyBorder="1" applyAlignment="1">
      <alignment vertical="center" wrapText="1"/>
      <protection/>
    </xf>
    <xf numFmtId="175" fontId="20" fillId="36" borderId="18" xfId="96" applyNumberFormat="1" applyFont="1" applyFill="1" applyBorder="1" applyAlignment="1">
      <alignment vertical="center" wrapText="1"/>
      <protection/>
    </xf>
    <xf numFmtId="3" fontId="20" fillId="36" borderId="18" xfId="56" applyNumberFormat="1" applyFont="1" applyFill="1" applyBorder="1" applyAlignment="1">
      <alignment vertical="center"/>
    </xf>
    <xf numFmtId="174" fontId="20" fillId="36" borderId="18" xfId="56" applyNumberFormat="1" applyFont="1" applyFill="1" applyBorder="1" applyAlignment="1">
      <alignment vertical="center"/>
    </xf>
    <xf numFmtId="174" fontId="20" fillId="36" borderId="18" xfId="51" applyNumberFormat="1" applyFont="1" applyFill="1" applyBorder="1" applyAlignment="1">
      <alignment vertical="center"/>
    </xf>
    <xf numFmtId="0" fontId="20" fillId="36" borderId="0" xfId="96" applyFont="1" applyFill="1" applyAlignment="1">
      <alignment horizontal="center" vertical="center"/>
      <protection/>
    </xf>
    <xf numFmtId="174" fontId="20" fillId="36" borderId="0" xfId="56" applyNumberFormat="1" applyFont="1" applyFill="1" applyAlignment="1">
      <alignment vertical="center"/>
    </xf>
    <xf numFmtId="0" fontId="69" fillId="36" borderId="0" xfId="96" applyFont="1" applyFill="1" applyAlignment="1">
      <alignment horizontal="center" vertical="center"/>
      <protection/>
    </xf>
    <xf numFmtId="49" fontId="20" fillId="36" borderId="0" xfId="96" applyNumberFormat="1" applyFont="1" applyFill="1" applyAlignment="1">
      <alignment horizontal="left" vertical="center"/>
      <protection/>
    </xf>
    <xf numFmtId="175" fontId="20" fillId="36" borderId="0" xfId="96" applyNumberFormat="1" applyFont="1" applyFill="1" applyAlignment="1">
      <alignment horizontal="left" vertical="center"/>
      <protection/>
    </xf>
    <xf numFmtId="4" fontId="20" fillId="36" borderId="0" xfId="96" applyNumberFormat="1" applyFont="1" applyFill="1" applyAlignment="1">
      <alignment horizontal="left" vertical="center"/>
      <protection/>
    </xf>
    <xf numFmtId="174" fontId="20" fillId="36" borderId="0" xfId="96" applyNumberFormat="1" applyFont="1" applyFill="1" applyAlignment="1">
      <alignment horizontal="left" vertical="center"/>
      <protection/>
    </xf>
    <xf numFmtId="174" fontId="20" fillId="36" borderId="0" xfId="51" applyNumberFormat="1" applyFont="1" applyFill="1" applyAlignment="1">
      <alignment horizontal="left" vertical="center"/>
    </xf>
    <xf numFmtId="3" fontId="58" fillId="36" borderId="15" xfId="93" applyNumberFormat="1" applyFont="1" applyFill="1" applyBorder="1" applyAlignment="1">
      <alignment horizontal="right" vertical="center" wrapText="1"/>
      <protection/>
    </xf>
    <xf numFmtId="1" fontId="58" fillId="36" borderId="15" xfId="93" applyNumberFormat="1" applyFont="1" applyFill="1" applyBorder="1" applyAlignment="1">
      <alignment horizontal="left" vertical="center" wrapText="1"/>
      <protection/>
    </xf>
    <xf numFmtId="1" fontId="58" fillId="36" borderId="15" xfId="93" applyNumberFormat="1" applyFont="1" applyFill="1" applyBorder="1" applyAlignment="1">
      <alignment horizontal="right" vertical="center" wrapText="1"/>
      <protection/>
    </xf>
    <xf numFmtId="175" fontId="58" fillId="36" borderId="15" xfId="93" applyNumberFormat="1" applyFont="1" applyFill="1" applyBorder="1" applyAlignment="1">
      <alignment horizontal="right" vertical="center" wrapText="1"/>
      <protection/>
    </xf>
    <xf numFmtId="175" fontId="58" fillId="36" borderId="15" xfId="93" applyNumberFormat="1" applyFont="1" applyFill="1" applyBorder="1" applyAlignment="1">
      <alignment horizontal="left" vertical="center" wrapText="1"/>
      <protection/>
    </xf>
    <xf numFmtId="1" fontId="20" fillId="36" borderId="15" xfId="93" applyNumberFormat="1" applyFont="1" applyFill="1" applyBorder="1" applyAlignment="1">
      <alignment horizontal="left" vertical="center" wrapText="1"/>
      <protection/>
    </xf>
    <xf numFmtId="1" fontId="20" fillId="36" borderId="15" xfId="93" applyNumberFormat="1" applyFont="1" applyFill="1" applyBorder="1" applyAlignment="1">
      <alignment horizontal="right" vertical="center" wrapText="1"/>
      <protection/>
    </xf>
    <xf numFmtId="3" fontId="20" fillId="36" borderId="15" xfId="93" applyNumberFormat="1" applyFont="1" applyFill="1" applyBorder="1" applyAlignment="1">
      <alignment horizontal="right" vertical="center" wrapText="1"/>
      <protection/>
    </xf>
    <xf numFmtId="3" fontId="20" fillId="36" borderId="15" xfId="93" applyNumberFormat="1" applyFont="1" applyFill="1" applyBorder="1" applyAlignment="1">
      <alignment horizontal="left" vertical="center" wrapText="1"/>
      <protection/>
    </xf>
    <xf numFmtId="1" fontId="57" fillId="36" borderId="15" xfId="93" applyNumberFormat="1" applyFont="1" applyFill="1" applyBorder="1" applyAlignment="1">
      <alignment horizontal="left" vertical="center" wrapText="1"/>
      <protection/>
    </xf>
    <xf numFmtId="1" fontId="57" fillId="36" borderId="15" xfId="93" applyNumberFormat="1" applyFont="1" applyFill="1" applyBorder="1" applyAlignment="1">
      <alignment horizontal="right" vertical="center" wrapText="1"/>
      <protection/>
    </xf>
    <xf numFmtId="175" fontId="57" fillId="36" borderId="15" xfId="93" applyNumberFormat="1" applyFont="1" applyFill="1" applyBorder="1" applyAlignment="1">
      <alignment horizontal="right" vertical="center" wrapText="1"/>
      <protection/>
    </xf>
    <xf numFmtId="175" fontId="57" fillId="36" borderId="15" xfId="93" applyNumberFormat="1" applyFont="1" applyFill="1" applyBorder="1" applyAlignment="1">
      <alignment horizontal="left" vertical="center" wrapText="1"/>
      <protection/>
    </xf>
    <xf numFmtId="1" fontId="59" fillId="36" borderId="15" xfId="93" applyNumberFormat="1" applyFont="1" applyFill="1" applyBorder="1" applyAlignment="1">
      <alignment horizontal="right" vertical="center" wrapText="1"/>
      <protection/>
    </xf>
    <xf numFmtId="175" fontId="59" fillId="36" borderId="15" xfId="93" applyNumberFormat="1" applyFont="1" applyFill="1" applyBorder="1" applyAlignment="1">
      <alignment horizontal="right" vertical="center" wrapText="1"/>
      <protection/>
    </xf>
    <xf numFmtId="175" fontId="57" fillId="36" borderId="15" xfId="93" applyNumberFormat="1" applyFont="1" applyFill="1" applyBorder="1" applyAlignment="1">
      <alignment horizontal="center" vertical="center" wrapText="1"/>
      <protection/>
    </xf>
    <xf numFmtId="3" fontId="20" fillId="36" borderId="15" xfId="93" applyNumberFormat="1" applyFont="1" applyFill="1" applyBorder="1" applyAlignment="1">
      <alignment horizontal="center" vertical="center" wrapText="1"/>
      <protection/>
    </xf>
    <xf numFmtId="3" fontId="9" fillId="36" borderId="15" xfId="93" applyNumberFormat="1" applyFont="1" applyFill="1" applyBorder="1" applyAlignment="1">
      <alignment horizontal="left" vertical="center" wrapText="1"/>
      <protection/>
    </xf>
    <xf numFmtId="1" fontId="59" fillId="36" borderId="15" xfId="93" applyNumberFormat="1" applyFont="1" applyFill="1" applyBorder="1" applyAlignment="1">
      <alignment horizontal="left" vertical="center" wrapText="1"/>
      <protection/>
    </xf>
    <xf numFmtId="175" fontId="59" fillId="36" borderId="15" xfId="93" applyNumberFormat="1" applyFont="1" applyFill="1" applyBorder="1" applyAlignment="1">
      <alignment horizontal="left" vertical="center" wrapText="1"/>
      <protection/>
    </xf>
    <xf numFmtId="0" fontId="58" fillId="0" borderId="0" xfId="0" applyFont="1" applyFill="1" applyAlignment="1">
      <alignment vertical="center"/>
    </xf>
    <xf numFmtId="175" fontId="58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 vertical="center"/>
    </xf>
    <xf numFmtId="175" fontId="20" fillId="0" borderId="0" xfId="0" applyNumberFormat="1" applyFont="1" applyFill="1" applyAlignment="1">
      <alignment vertical="center"/>
    </xf>
    <xf numFmtId="0" fontId="64" fillId="0" borderId="0" xfId="0" applyFont="1" applyFill="1" applyAlignment="1">
      <alignment vertical="center"/>
    </xf>
    <xf numFmtId="0" fontId="68" fillId="0" borderId="0" xfId="0" applyFont="1" applyFill="1" applyAlignment="1">
      <alignment vertical="center"/>
    </xf>
    <xf numFmtId="0" fontId="20" fillId="0" borderId="0" xfId="93" applyFont="1" applyFill="1" applyAlignment="1">
      <alignment vertical="center" wrapText="1"/>
      <protection/>
    </xf>
    <xf numFmtId="0" fontId="20" fillId="0" borderId="0" xfId="96" applyFont="1" applyFill="1" applyAlignment="1">
      <alignment vertical="center"/>
      <protection/>
    </xf>
    <xf numFmtId="175" fontId="20" fillId="0" borderId="0" xfId="96" applyNumberFormat="1" applyFont="1" applyFill="1" applyAlignment="1">
      <alignment vertical="center" wrapText="1"/>
      <protection/>
    </xf>
    <xf numFmtId="49" fontId="20" fillId="0" borderId="0" xfId="96" applyNumberFormat="1" applyFont="1" applyFill="1" applyAlignment="1">
      <alignment vertical="center" wrapText="1"/>
      <protection/>
    </xf>
    <xf numFmtId="43" fontId="20" fillId="0" borderId="0" xfId="56" applyFont="1" applyFill="1" applyAlignment="1">
      <alignment vertical="center"/>
    </xf>
    <xf numFmtId="174" fontId="20" fillId="0" borderId="0" xfId="51" applyNumberFormat="1" applyFont="1" applyFill="1" applyAlignment="1">
      <alignment vertical="center"/>
    </xf>
    <xf numFmtId="0" fontId="58" fillId="0" borderId="0" xfId="96" applyFont="1" applyFill="1" applyAlignment="1">
      <alignment vertical="center" wrapText="1"/>
      <protection/>
    </xf>
    <xf numFmtId="0" fontId="58" fillId="0" borderId="0" xfId="96" applyFont="1" applyFill="1" applyAlignment="1">
      <alignment vertical="center"/>
      <protection/>
    </xf>
    <xf numFmtId="0" fontId="39" fillId="0" borderId="0" xfId="96" applyFont="1" applyFill="1" applyAlignment="1">
      <alignment vertical="center"/>
      <protection/>
    </xf>
    <xf numFmtId="0" fontId="57" fillId="0" borderId="0" xfId="96" applyFont="1" applyFill="1" applyAlignment="1">
      <alignment vertical="center"/>
      <protection/>
    </xf>
    <xf numFmtId="0" fontId="20" fillId="0" borderId="0" xfId="96" applyFont="1" applyFill="1" applyAlignment="1">
      <alignment horizontal="center" vertical="center"/>
      <protection/>
    </xf>
    <xf numFmtId="49" fontId="20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vertical="center" wrapText="1"/>
    </xf>
    <xf numFmtId="0" fontId="20" fillId="0" borderId="0" xfId="0" applyFont="1" applyFill="1" applyAlignment="1">
      <alignment horizontal="center" vertical="center" wrapText="1"/>
    </xf>
    <xf numFmtId="0" fontId="58" fillId="0" borderId="0" xfId="0" applyFont="1" applyFill="1" applyAlignment="1">
      <alignment vertical="center" wrapText="1"/>
    </xf>
    <xf numFmtId="0" fontId="57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Alignment="1">
      <alignment horizontal="right" vertical="center"/>
    </xf>
    <xf numFmtId="175" fontId="20" fillId="0" borderId="0" xfId="0" applyNumberFormat="1" applyFont="1" applyFill="1" applyAlignment="1">
      <alignment horizontal="right" vertical="center"/>
    </xf>
    <xf numFmtId="0" fontId="58" fillId="0" borderId="0" xfId="0" applyFont="1" applyFill="1" applyAlignment="1">
      <alignment horizontal="right" vertical="center"/>
    </xf>
    <xf numFmtId="0" fontId="58" fillId="0" borderId="0" xfId="0" applyFont="1" applyFill="1" applyAlignment="1">
      <alignment horizontal="left" vertical="center"/>
    </xf>
    <xf numFmtId="0" fontId="57" fillId="0" borderId="0" xfId="0" applyFont="1" applyFill="1" applyAlignment="1">
      <alignment horizontal="left" vertical="center"/>
    </xf>
    <xf numFmtId="0" fontId="57" fillId="0" borderId="0" xfId="0" applyFont="1" applyFill="1" applyAlignment="1">
      <alignment horizontal="right" vertical="center"/>
    </xf>
    <xf numFmtId="4" fontId="57" fillId="0" borderId="0" xfId="0" applyNumberFormat="1" applyFont="1" applyFill="1" applyAlignment="1">
      <alignment horizontal="right" vertical="center"/>
    </xf>
    <xf numFmtId="4" fontId="57" fillId="0" borderId="0" xfId="0" applyNumberFormat="1" applyFont="1" applyFill="1" applyAlignment="1">
      <alignment vertical="center"/>
    </xf>
    <xf numFmtId="4" fontId="57" fillId="0" borderId="0" xfId="0" applyNumberFormat="1" applyFont="1" applyFill="1" applyAlignment="1">
      <alignment horizontal="left" vertical="center"/>
    </xf>
    <xf numFmtId="177" fontId="57" fillId="0" borderId="0" xfId="0" applyNumberFormat="1" applyFont="1" applyFill="1" applyAlignment="1">
      <alignment vertical="center"/>
    </xf>
    <xf numFmtId="175" fontId="57" fillId="0" borderId="0" xfId="0" applyNumberFormat="1" applyFont="1" applyFill="1" applyAlignment="1">
      <alignment vertical="center"/>
    </xf>
    <xf numFmtId="0" fontId="168" fillId="0" borderId="35" xfId="0" applyFont="1" applyFill="1" applyBorder="1" applyAlignment="1">
      <alignment horizontal="right" vertical="center"/>
    </xf>
    <xf numFmtId="0" fontId="20" fillId="0" borderId="36" xfId="0" applyFont="1" applyFill="1" applyBorder="1" applyAlignment="1">
      <alignment vertical="center"/>
    </xf>
    <xf numFmtId="0" fontId="58" fillId="0" borderId="36" xfId="0" applyFont="1" applyFill="1" applyBorder="1" applyAlignment="1">
      <alignment horizontal="right" vertical="center"/>
    </xf>
    <xf numFmtId="0" fontId="58" fillId="0" borderId="36" xfId="0" applyFont="1" applyFill="1" applyBorder="1" applyAlignment="1">
      <alignment vertical="center"/>
    </xf>
    <xf numFmtId="0" fontId="58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169" fillId="0" borderId="35" xfId="0" applyFont="1" applyFill="1" applyBorder="1" applyAlignment="1">
      <alignment horizontal="right" vertical="center"/>
    </xf>
    <xf numFmtId="0" fontId="170" fillId="0" borderId="0" xfId="0" applyFont="1" applyAlignment="1">
      <alignment vertical="center" wrapText="1"/>
    </xf>
    <xf numFmtId="0" fontId="170" fillId="0" borderId="0" xfId="0" applyFont="1" applyAlignment="1">
      <alignment horizontal="center" vertical="center" wrapText="1"/>
    </xf>
    <xf numFmtId="0" fontId="168" fillId="0" borderId="0" xfId="0" applyFont="1" applyFill="1" applyBorder="1" applyAlignment="1">
      <alignment horizontal="right" vertical="center"/>
    </xf>
    <xf numFmtId="0" fontId="58" fillId="0" borderId="36" xfId="0" applyFont="1" applyFill="1" applyBorder="1" applyAlignment="1">
      <alignment horizontal="center" vertical="center" wrapText="1"/>
    </xf>
    <xf numFmtId="0" fontId="171" fillId="0" borderId="36" xfId="0" applyFont="1" applyFill="1" applyBorder="1" applyAlignment="1">
      <alignment vertical="center"/>
    </xf>
    <xf numFmtId="0" fontId="171" fillId="0" borderId="0" xfId="0" applyFont="1" applyFill="1" applyAlignment="1">
      <alignment vertical="center"/>
    </xf>
    <xf numFmtId="0" fontId="57" fillId="0" borderId="36" xfId="0" applyFont="1" applyFill="1" applyBorder="1" applyAlignment="1">
      <alignment vertical="center"/>
    </xf>
    <xf numFmtId="0" fontId="171" fillId="0" borderId="36" xfId="0" applyFont="1" applyFill="1" applyBorder="1" applyAlignment="1">
      <alignment horizontal="right" vertical="center"/>
    </xf>
    <xf numFmtId="0" fontId="171" fillId="0" borderId="0" xfId="0" applyFont="1" applyFill="1" applyAlignment="1">
      <alignment horizontal="left" vertical="center"/>
    </xf>
    <xf numFmtId="0" fontId="171" fillId="0" borderId="0" xfId="0" applyFont="1" applyFill="1" applyAlignment="1">
      <alignment horizontal="right" vertical="center"/>
    </xf>
    <xf numFmtId="0" fontId="19" fillId="0" borderId="0" xfId="0" applyFont="1" applyFill="1" applyAlignment="1">
      <alignment horizontal="center" vertical="center"/>
    </xf>
    <xf numFmtId="0" fontId="15" fillId="0" borderId="9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vertical="center" wrapText="1"/>
    </xf>
    <xf numFmtId="174" fontId="15" fillId="0" borderId="9" xfId="49" applyNumberFormat="1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left" vertical="center" wrapText="1"/>
    </xf>
    <xf numFmtId="174" fontId="19" fillId="0" borderId="9" xfId="49" applyNumberFormat="1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/>
    </xf>
    <xf numFmtId="0" fontId="70" fillId="0" borderId="9" xfId="0" applyFont="1" applyFill="1" applyBorder="1" applyAlignment="1">
      <alignment horizontal="left" vertical="center" wrapText="1"/>
    </xf>
    <xf numFmtId="0" fontId="70" fillId="0" borderId="9" xfId="0" applyFont="1" applyFill="1" applyBorder="1" applyAlignment="1">
      <alignment vertical="center"/>
    </xf>
    <xf numFmtId="0" fontId="19" fillId="0" borderId="9" xfId="0" applyFont="1" applyFill="1" applyBorder="1" applyAlignment="1">
      <alignment horizontal="left" vertical="center" wrapText="1"/>
    </xf>
    <xf numFmtId="0" fontId="19" fillId="0" borderId="9" xfId="0" applyFont="1" applyFill="1" applyBorder="1" applyAlignment="1" quotePrefix="1">
      <alignment horizontal="left" vertical="center" wrapText="1"/>
    </xf>
    <xf numFmtId="0" fontId="19" fillId="0" borderId="9" xfId="0" applyFont="1" applyFill="1" applyBorder="1" applyAlignment="1" quotePrefix="1">
      <alignment horizontal="center" vertical="center" wrapText="1"/>
    </xf>
    <xf numFmtId="0" fontId="19" fillId="0" borderId="0" xfId="0" applyFont="1" applyFill="1" applyAlignment="1">
      <alignment vertical="center" wrapText="1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0" fontId="172" fillId="0" borderId="0" xfId="0" applyFont="1" applyAlignment="1">
      <alignment vertical="center" wrapText="1"/>
    </xf>
    <xf numFmtId="0" fontId="172" fillId="0" borderId="0" xfId="0" applyFont="1" applyAlignment="1">
      <alignment horizontal="center" vertical="center" wrapText="1"/>
    </xf>
    <xf numFmtId="0" fontId="173" fillId="0" borderId="9" xfId="0" applyFont="1" applyBorder="1" applyAlignment="1">
      <alignment vertical="center" wrapText="1"/>
    </xf>
    <xf numFmtId="0" fontId="173" fillId="0" borderId="9" xfId="0" applyFont="1" applyBorder="1" applyAlignment="1">
      <alignment horizontal="center" vertical="center" wrapText="1"/>
    </xf>
    <xf numFmtId="0" fontId="172" fillId="0" borderId="9" xfId="0" applyFont="1" applyBorder="1" applyAlignment="1">
      <alignment horizontal="center" vertical="center" wrapText="1"/>
    </xf>
    <xf numFmtId="0" fontId="172" fillId="0" borderId="9" xfId="0" applyFont="1" applyBorder="1" applyAlignment="1">
      <alignment vertical="center" wrapText="1"/>
    </xf>
    <xf numFmtId="0" fontId="174" fillId="0" borderId="9" xfId="0" applyFont="1" applyBorder="1" applyAlignment="1" quotePrefix="1">
      <alignment vertical="center" wrapText="1"/>
    </xf>
    <xf numFmtId="0" fontId="174" fillId="0" borderId="9" xfId="0" applyFont="1" applyBorder="1" applyAlignment="1">
      <alignment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 vertical="center"/>
    </xf>
    <xf numFmtId="0" fontId="19" fillId="0" borderId="9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vertical="center" wrapText="1"/>
    </xf>
    <xf numFmtId="0" fontId="19" fillId="0" borderId="0" xfId="0" applyFont="1" applyFill="1" applyAlignment="1">
      <alignment horizontal="right" vertical="center" wrapText="1"/>
    </xf>
    <xf numFmtId="3" fontId="19" fillId="0" borderId="9" xfId="49" applyNumberFormat="1" applyFont="1" applyFill="1" applyBorder="1" applyAlignment="1">
      <alignment horizontal="center" vertical="center"/>
    </xf>
    <xf numFmtId="177" fontId="19" fillId="0" borderId="9" xfId="49" applyNumberFormat="1" applyFont="1" applyFill="1" applyBorder="1" applyAlignment="1">
      <alignment horizontal="center" vertical="center"/>
    </xf>
    <xf numFmtId="174" fontId="19" fillId="0" borderId="9" xfId="49" applyNumberFormat="1" applyFont="1" applyFill="1" applyBorder="1" applyAlignment="1">
      <alignment horizontal="center" vertical="center"/>
    </xf>
    <xf numFmtId="175" fontId="19" fillId="0" borderId="9" xfId="49" applyNumberFormat="1" applyFont="1" applyFill="1" applyBorder="1" applyAlignment="1">
      <alignment horizontal="center" vertical="center"/>
    </xf>
    <xf numFmtId="0" fontId="70" fillId="0" borderId="9" xfId="0" applyFont="1" applyFill="1" applyBorder="1" applyAlignment="1">
      <alignment horizontal="center" vertical="center"/>
    </xf>
    <xf numFmtId="0" fontId="70" fillId="0" borderId="9" xfId="0" applyFont="1" applyFill="1" applyBorder="1" applyAlignment="1">
      <alignment vertical="center" wrapText="1"/>
    </xf>
    <xf numFmtId="0" fontId="70" fillId="0" borderId="9" xfId="0" applyFont="1" applyFill="1" applyBorder="1" applyAlignment="1">
      <alignment horizontal="center" vertical="center" wrapText="1"/>
    </xf>
    <xf numFmtId="174" fontId="70" fillId="0" borderId="9" xfId="49" applyNumberFormat="1" applyFont="1" applyFill="1" applyBorder="1" applyAlignment="1">
      <alignment horizontal="center" vertical="center"/>
    </xf>
    <xf numFmtId="175" fontId="70" fillId="0" borderId="9" xfId="49" applyNumberFormat="1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/>
    </xf>
    <xf numFmtId="3" fontId="15" fillId="0" borderId="9" xfId="49" applyNumberFormat="1" applyFont="1" applyFill="1" applyBorder="1" applyAlignment="1">
      <alignment horizontal="right" vertical="center"/>
    </xf>
    <xf numFmtId="3" fontId="15" fillId="0" borderId="9" xfId="49" applyNumberFormat="1" applyFont="1" applyFill="1" applyBorder="1" applyAlignment="1">
      <alignment horizontal="center" vertical="center"/>
    </xf>
    <xf numFmtId="3" fontId="15" fillId="0" borderId="9" xfId="49" applyNumberFormat="1" applyFont="1" applyFill="1" applyBorder="1" applyAlignment="1">
      <alignment horizontal="left" vertical="center"/>
    </xf>
    <xf numFmtId="175" fontId="15" fillId="0" borderId="9" xfId="49" applyNumberFormat="1" applyFont="1" applyFill="1" applyBorder="1" applyAlignment="1">
      <alignment horizontal="center" vertical="center"/>
    </xf>
    <xf numFmtId="175" fontId="15" fillId="0" borderId="9" xfId="49" applyNumberFormat="1" applyFont="1" applyFill="1" applyBorder="1" applyAlignment="1">
      <alignment horizontal="right" vertical="center"/>
    </xf>
    <xf numFmtId="175" fontId="70" fillId="0" borderId="9" xfId="49" applyNumberFormat="1" applyFont="1" applyFill="1" applyBorder="1" applyAlignment="1">
      <alignment horizontal="right" vertical="center"/>
    </xf>
    <xf numFmtId="3" fontId="70" fillId="0" borderId="9" xfId="49" applyNumberFormat="1" applyFont="1" applyFill="1" applyBorder="1" applyAlignment="1">
      <alignment horizontal="center" vertical="center"/>
    </xf>
    <xf numFmtId="175" fontId="19" fillId="0" borderId="9" xfId="49" applyNumberFormat="1" applyFont="1" applyFill="1" applyBorder="1" applyAlignment="1">
      <alignment horizontal="right" vertical="center"/>
    </xf>
    <xf numFmtId="175" fontId="19" fillId="0" borderId="9" xfId="49" applyNumberFormat="1" applyFont="1" applyFill="1" applyBorder="1" applyAlignment="1">
      <alignment horizontal="left" vertical="center"/>
    </xf>
    <xf numFmtId="175" fontId="70" fillId="0" borderId="9" xfId="49" applyNumberFormat="1" applyFont="1" applyFill="1" applyBorder="1" applyAlignment="1">
      <alignment horizontal="left" vertical="center"/>
    </xf>
    <xf numFmtId="175" fontId="70" fillId="0" borderId="9" xfId="49" applyNumberFormat="1" applyFont="1" applyFill="1" applyBorder="1" applyAlignment="1">
      <alignment vertical="center"/>
    </xf>
    <xf numFmtId="175" fontId="15" fillId="0" borderId="9" xfId="49" applyNumberFormat="1" applyFont="1" applyFill="1" applyBorder="1" applyAlignment="1">
      <alignment horizontal="left" vertical="center"/>
    </xf>
    <xf numFmtId="0" fontId="70" fillId="0" borderId="9" xfId="0" applyFont="1" applyFill="1" applyBorder="1" applyAlignment="1" quotePrefix="1">
      <alignment horizontal="left" vertical="center" wrapText="1"/>
    </xf>
    <xf numFmtId="0" fontId="19" fillId="0" borderId="9" xfId="0" applyFont="1" applyFill="1" applyBorder="1" applyAlignment="1" quotePrefix="1">
      <alignment vertical="center" wrapText="1"/>
    </xf>
    <xf numFmtId="0" fontId="19" fillId="0" borderId="18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vertical="center" wrapText="1"/>
    </xf>
    <xf numFmtId="0" fontId="19" fillId="0" borderId="18" xfId="0" applyFont="1" applyFill="1" applyBorder="1" applyAlignment="1">
      <alignment horizontal="center" vertical="center" wrapText="1"/>
    </xf>
    <xf numFmtId="175" fontId="19" fillId="0" borderId="18" xfId="0" applyNumberFormat="1" applyFont="1" applyFill="1" applyBorder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70" fillId="0" borderId="0" xfId="0" applyFont="1" applyFill="1" applyAlignment="1">
      <alignment vertical="center" wrapText="1"/>
    </xf>
    <xf numFmtId="0" fontId="70" fillId="0" borderId="0" xfId="0" applyFont="1" applyFill="1" applyAlignment="1">
      <alignment horizontal="center" vertical="center" wrapText="1"/>
    </xf>
    <xf numFmtId="0" fontId="70" fillId="0" borderId="0" xfId="0" applyFont="1" applyFill="1" applyAlignment="1">
      <alignment vertical="center"/>
    </xf>
    <xf numFmtId="177" fontId="70" fillId="0" borderId="0" xfId="0" applyNumberFormat="1" applyFont="1" applyFill="1" applyAlignment="1">
      <alignment vertical="center"/>
    </xf>
    <xf numFmtId="0" fontId="15" fillId="0" borderId="0" xfId="93" applyFont="1" applyFill="1" applyAlignment="1">
      <alignment vertical="center" wrapText="1"/>
      <protection/>
    </xf>
    <xf numFmtId="0" fontId="15" fillId="0" borderId="0" xfId="96" applyFont="1" applyFill="1" applyAlignment="1">
      <alignment horizontal="center" vertical="center"/>
      <protection/>
    </xf>
    <xf numFmtId="0" fontId="19" fillId="0" borderId="1" xfId="96" applyFont="1" applyFill="1" applyBorder="1" applyAlignment="1">
      <alignment horizontal="center" vertical="center"/>
      <protection/>
    </xf>
    <xf numFmtId="49" fontId="19" fillId="0" borderId="1" xfId="96" applyNumberFormat="1" applyFont="1" applyFill="1" applyBorder="1" applyAlignment="1">
      <alignment vertical="center" wrapText="1"/>
      <protection/>
    </xf>
    <xf numFmtId="175" fontId="19" fillId="0" borderId="0" xfId="96" applyNumberFormat="1" applyFont="1" applyFill="1" applyAlignment="1">
      <alignment vertical="center" wrapText="1"/>
      <protection/>
    </xf>
    <xf numFmtId="49" fontId="19" fillId="0" borderId="0" xfId="96" applyNumberFormat="1" applyFont="1" applyFill="1" applyAlignment="1">
      <alignment vertical="center" wrapText="1"/>
      <protection/>
    </xf>
    <xf numFmtId="43" fontId="19" fillId="0" borderId="0" xfId="56" applyFont="1" applyFill="1" applyAlignment="1">
      <alignment vertical="center"/>
    </xf>
    <xf numFmtId="43" fontId="70" fillId="0" borderId="1" xfId="56" applyFont="1" applyFill="1" applyBorder="1" applyAlignment="1">
      <alignment horizontal="right" vertical="center"/>
    </xf>
    <xf numFmtId="174" fontId="19" fillId="0" borderId="0" xfId="51" applyNumberFormat="1" applyFont="1" applyFill="1" applyAlignment="1">
      <alignment vertical="center"/>
    </xf>
    <xf numFmtId="0" fontId="15" fillId="0" borderId="9" xfId="96" applyFont="1" applyFill="1" applyBorder="1" applyAlignment="1">
      <alignment horizontal="center" vertical="center" wrapText="1"/>
      <protection/>
    </xf>
    <xf numFmtId="49" fontId="15" fillId="0" borderId="9" xfId="96" applyNumberFormat="1" applyFont="1" applyFill="1" applyBorder="1" applyAlignment="1">
      <alignment horizontal="center" vertical="center" wrapText="1"/>
      <protection/>
    </xf>
    <xf numFmtId="1" fontId="15" fillId="0" borderId="0" xfId="51" applyNumberFormat="1" applyFont="1" applyFill="1" applyBorder="1" applyAlignment="1">
      <alignment horizontal="center" vertical="center" wrapText="1"/>
    </xf>
    <xf numFmtId="0" fontId="15" fillId="0" borderId="23" xfId="96" applyFont="1" applyFill="1" applyBorder="1" applyAlignment="1">
      <alignment horizontal="center" vertical="center"/>
      <protection/>
    </xf>
    <xf numFmtId="49" fontId="15" fillId="0" borderId="23" xfId="96" applyNumberFormat="1" applyFont="1" applyFill="1" applyBorder="1" applyAlignment="1">
      <alignment horizontal="center" vertical="center" wrapText="1"/>
      <protection/>
    </xf>
    <xf numFmtId="175" fontId="15" fillId="0" borderId="23" xfId="96" applyNumberFormat="1" applyFont="1" applyFill="1" applyBorder="1" applyAlignment="1">
      <alignment horizontal="center" vertical="center" wrapText="1"/>
      <protection/>
    </xf>
    <xf numFmtId="175" fontId="15" fillId="0" borderId="23" xfId="56" applyNumberFormat="1" applyFont="1" applyFill="1" applyBorder="1" applyAlignment="1">
      <alignment vertical="center"/>
    </xf>
    <xf numFmtId="178" fontId="15" fillId="0" borderId="0" xfId="51" applyNumberFormat="1" applyFont="1" applyFill="1" applyBorder="1" applyAlignment="1">
      <alignment vertical="center"/>
    </xf>
    <xf numFmtId="0" fontId="15" fillId="0" borderId="15" xfId="96" applyFont="1" applyFill="1" applyBorder="1" applyAlignment="1">
      <alignment horizontal="center" vertical="center"/>
      <protection/>
    </xf>
    <xf numFmtId="49" fontId="15" fillId="0" borderId="15" xfId="96" applyNumberFormat="1" applyFont="1" applyFill="1" applyBorder="1" applyAlignment="1">
      <alignment horizontal="right" vertical="center" wrapText="1"/>
      <protection/>
    </xf>
    <xf numFmtId="175" fontId="15" fillId="0" borderId="15" xfId="96" applyNumberFormat="1" applyFont="1" applyFill="1" applyBorder="1" applyAlignment="1">
      <alignment vertical="center" wrapText="1"/>
      <protection/>
    </xf>
    <xf numFmtId="175" fontId="15" fillId="0" borderId="15" xfId="96" applyNumberFormat="1" applyFont="1" applyFill="1" applyBorder="1" applyAlignment="1">
      <alignment horizontal="left" vertical="center" wrapText="1"/>
      <protection/>
    </xf>
    <xf numFmtId="175" fontId="15" fillId="0" borderId="15" xfId="56" applyNumberFormat="1" applyFont="1" applyFill="1" applyBorder="1" applyAlignment="1">
      <alignment vertical="center"/>
    </xf>
    <xf numFmtId="174" fontId="15" fillId="0" borderId="0" xfId="51" applyNumberFormat="1" applyFont="1" applyFill="1" applyBorder="1" applyAlignment="1">
      <alignment vertical="center"/>
    </xf>
    <xf numFmtId="0" fontId="19" fillId="0" borderId="15" xfId="96" applyFont="1" applyFill="1" applyBorder="1" applyAlignment="1">
      <alignment horizontal="center" vertical="center"/>
      <protection/>
    </xf>
    <xf numFmtId="49" fontId="19" fillId="0" borderId="15" xfId="96" applyNumberFormat="1" applyFont="1" applyFill="1" applyBorder="1" applyAlignment="1">
      <alignment horizontal="right" vertical="center" wrapText="1"/>
      <protection/>
    </xf>
    <xf numFmtId="175" fontId="19" fillId="0" borderId="15" xfId="96" applyNumberFormat="1" applyFont="1" applyFill="1" applyBorder="1" applyAlignment="1">
      <alignment vertical="center" wrapText="1"/>
      <protection/>
    </xf>
    <xf numFmtId="175" fontId="19" fillId="0" borderId="15" xfId="96" applyNumberFormat="1" applyFont="1" applyFill="1" applyBorder="1" applyAlignment="1">
      <alignment horizontal="left" vertical="center" wrapText="1"/>
      <protection/>
    </xf>
    <xf numFmtId="175" fontId="19" fillId="0" borderId="15" xfId="56" applyNumberFormat="1" applyFont="1" applyFill="1" applyBorder="1" applyAlignment="1">
      <alignment vertical="center"/>
    </xf>
    <xf numFmtId="174" fontId="19" fillId="0" borderId="0" xfId="51" applyNumberFormat="1" applyFont="1" applyFill="1" applyBorder="1" applyAlignment="1">
      <alignment vertical="center"/>
    </xf>
    <xf numFmtId="49" fontId="19" fillId="0" borderId="15" xfId="96" applyNumberFormat="1" applyFont="1" applyFill="1" applyBorder="1" applyAlignment="1">
      <alignment vertical="center" wrapText="1"/>
      <protection/>
    </xf>
    <xf numFmtId="49" fontId="19" fillId="0" borderId="15" xfId="96" applyNumberFormat="1" applyFont="1" applyFill="1" applyBorder="1" applyAlignment="1" quotePrefix="1">
      <alignment vertical="center" wrapText="1"/>
      <protection/>
    </xf>
    <xf numFmtId="175" fontId="19" fillId="0" borderId="15" xfId="96" applyNumberFormat="1" applyFont="1" applyFill="1" applyBorder="1" applyAlignment="1" quotePrefix="1">
      <alignment vertical="center" wrapText="1"/>
      <protection/>
    </xf>
    <xf numFmtId="0" fontId="19" fillId="0" borderId="19" xfId="96" applyFont="1" applyFill="1" applyBorder="1" applyAlignment="1">
      <alignment horizontal="center" vertical="center"/>
      <protection/>
    </xf>
    <xf numFmtId="49" fontId="19" fillId="0" borderId="19" xfId="96" applyNumberFormat="1" applyFont="1" applyFill="1" applyBorder="1" applyAlignment="1">
      <alignment vertical="center" wrapText="1"/>
      <protection/>
    </xf>
    <xf numFmtId="175" fontId="19" fillId="0" borderId="19" xfId="96" applyNumberFormat="1" applyFont="1" applyFill="1" applyBorder="1" applyAlignment="1">
      <alignment vertical="center" wrapText="1"/>
      <protection/>
    </xf>
    <xf numFmtId="175" fontId="19" fillId="0" borderId="19" xfId="56" applyNumberFormat="1" applyFont="1" applyFill="1" applyBorder="1" applyAlignment="1">
      <alignment vertical="center"/>
    </xf>
    <xf numFmtId="0" fontId="15" fillId="0" borderId="9" xfId="96" applyFont="1" applyFill="1" applyBorder="1" applyAlignment="1">
      <alignment horizontal="center" vertical="center"/>
      <protection/>
    </xf>
    <xf numFmtId="49" fontId="15" fillId="0" borderId="9" xfId="96" applyNumberFormat="1" applyFont="1" applyFill="1" applyBorder="1" applyAlignment="1">
      <alignment vertical="center" wrapText="1"/>
      <protection/>
    </xf>
    <xf numFmtId="3" fontId="15" fillId="0" borderId="9" xfId="96" applyNumberFormat="1" applyFont="1" applyFill="1" applyBorder="1" applyAlignment="1">
      <alignment vertical="center" wrapText="1"/>
      <protection/>
    </xf>
    <xf numFmtId="175" fontId="15" fillId="0" borderId="9" xfId="96" applyNumberFormat="1" applyFont="1" applyFill="1" applyBorder="1" applyAlignment="1">
      <alignment horizontal="center" vertical="center" wrapText="1"/>
      <protection/>
    </xf>
    <xf numFmtId="3" fontId="73" fillId="0" borderId="9" xfId="49" applyNumberFormat="1" applyFont="1" applyFill="1" applyBorder="1" applyAlignment="1">
      <alignment horizontal="left" vertical="center"/>
    </xf>
    <xf numFmtId="3" fontId="15" fillId="0" borderId="9" xfId="56" applyNumberFormat="1" applyFont="1" applyFill="1" applyBorder="1" applyAlignment="1">
      <alignment horizontal="center" vertical="center"/>
    </xf>
    <xf numFmtId="3" fontId="15" fillId="0" borderId="9" xfId="56" applyNumberFormat="1" applyFont="1" applyFill="1" applyBorder="1" applyAlignment="1">
      <alignment vertical="center"/>
    </xf>
    <xf numFmtId="3" fontId="15" fillId="0" borderId="9" xfId="96" applyNumberFormat="1" applyFont="1" applyFill="1" applyBorder="1" applyAlignment="1">
      <alignment horizontal="center" vertical="center" wrapText="1"/>
      <protection/>
    </xf>
    <xf numFmtId="0" fontId="70" fillId="0" borderId="9" xfId="96" applyFont="1" applyFill="1" applyBorder="1" applyAlignment="1">
      <alignment horizontal="center" vertical="center"/>
      <protection/>
    </xf>
    <xf numFmtId="49" fontId="70" fillId="0" borderId="9" xfId="96" applyNumberFormat="1" applyFont="1" applyFill="1" applyBorder="1" applyAlignment="1">
      <alignment horizontal="left" vertical="center" wrapText="1"/>
      <protection/>
    </xf>
    <xf numFmtId="175" fontId="70" fillId="0" borderId="9" xfId="96" applyNumberFormat="1" applyFont="1" applyFill="1" applyBorder="1" applyAlignment="1">
      <alignment horizontal="right" vertical="center" wrapText="1"/>
      <protection/>
    </xf>
    <xf numFmtId="175" fontId="70" fillId="0" borderId="9" xfId="96" applyNumberFormat="1" applyFont="1" applyFill="1" applyBorder="1" applyAlignment="1">
      <alignment horizontal="left" vertical="center" wrapText="1"/>
      <protection/>
    </xf>
    <xf numFmtId="175" fontId="74" fillId="0" borderId="9" xfId="49" applyNumberFormat="1" applyFont="1" applyFill="1" applyBorder="1" applyAlignment="1">
      <alignment horizontal="left" vertical="center"/>
    </xf>
    <xf numFmtId="175" fontId="70" fillId="0" borderId="9" xfId="96" applyNumberFormat="1" applyFont="1" applyFill="1" applyBorder="1" applyAlignment="1">
      <alignment horizontal="center" vertical="center" wrapText="1"/>
      <protection/>
    </xf>
    <xf numFmtId="174" fontId="70" fillId="0" borderId="0" xfId="51" applyNumberFormat="1" applyFont="1" applyFill="1" applyBorder="1" applyAlignment="1">
      <alignment vertical="center"/>
    </xf>
    <xf numFmtId="0" fontId="19" fillId="0" borderId="9" xfId="96" applyFont="1" applyFill="1" applyBorder="1" applyAlignment="1">
      <alignment horizontal="center" vertical="center"/>
      <protection/>
    </xf>
    <xf numFmtId="49" fontId="19" fillId="0" borderId="9" xfId="96" applyNumberFormat="1" applyFont="1" applyFill="1" applyBorder="1" applyAlignment="1">
      <alignment vertical="center" wrapText="1"/>
      <protection/>
    </xf>
    <xf numFmtId="3" fontId="19" fillId="0" borderId="9" xfId="56" applyNumberFormat="1" applyFont="1" applyFill="1" applyBorder="1" applyAlignment="1">
      <alignment vertical="center"/>
    </xf>
    <xf numFmtId="175" fontId="19" fillId="0" borderId="9" xfId="96" applyNumberFormat="1" applyFont="1" applyFill="1" applyBorder="1" applyAlignment="1">
      <alignment horizontal="left" vertical="center" wrapText="1"/>
      <protection/>
    </xf>
    <xf numFmtId="3" fontId="38" fillId="0" borderId="9" xfId="49" applyNumberFormat="1" applyFont="1" applyFill="1" applyBorder="1" applyAlignment="1">
      <alignment horizontal="left" vertical="center"/>
    </xf>
    <xf numFmtId="3" fontId="19" fillId="0" borderId="9" xfId="56" applyNumberFormat="1" applyFont="1" applyFill="1" applyBorder="1" applyAlignment="1">
      <alignment horizontal="center" vertical="center"/>
    </xf>
    <xf numFmtId="175" fontId="70" fillId="0" borderId="9" xfId="96" applyNumberFormat="1" applyFont="1" applyFill="1" applyBorder="1" applyAlignment="1">
      <alignment vertical="center" wrapText="1"/>
      <protection/>
    </xf>
    <xf numFmtId="3" fontId="38" fillId="0" borderId="9" xfId="49" applyNumberFormat="1" applyFont="1" applyFill="1" applyBorder="1" applyAlignment="1">
      <alignment horizontal="center" vertical="center"/>
    </xf>
    <xf numFmtId="175" fontId="19" fillId="0" borderId="9" xfId="96" applyNumberFormat="1" applyFont="1" applyFill="1" applyBorder="1" applyAlignment="1">
      <alignment horizontal="center" vertical="center" wrapText="1"/>
      <protection/>
    </xf>
    <xf numFmtId="49" fontId="70" fillId="0" borderId="9" xfId="96" applyNumberFormat="1" applyFont="1" applyFill="1" applyBorder="1" applyAlignment="1">
      <alignment vertical="center" wrapText="1"/>
      <protection/>
    </xf>
    <xf numFmtId="175" fontId="15" fillId="0" borderId="9" xfId="96" applyNumberFormat="1" applyFont="1" applyFill="1" applyBorder="1" applyAlignment="1">
      <alignment vertical="center" wrapText="1"/>
      <protection/>
    </xf>
    <xf numFmtId="175" fontId="15" fillId="0" borderId="9" xfId="56" applyNumberFormat="1" applyFont="1" applyFill="1" applyBorder="1" applyAlignment="1">
      <alignment vertical="center"/>
    </xf>
    <xf numFmtId="49" fontId="19" fillId="0" borderId="9" xfId="96" applyNumberFormat="1" applyFont="1" applyFill="1" applyBorder="1" applyAlignment="1">
      <alignment horizontal="left" vertical="center" wrapText="1"/>
      <protection/>
    </xf>
    <xf numFmtId="175" fontId="19" fillId="0" borderId="9" xfId="96" applyNumberFormat="1" applyFont="1" applyFill="1" applyBorder="1" applyAlignment="1">
      <alignment vertical="center" wrapText="1"/>
      <protection/>
    </xf>
    <xf numFmtId="175" fontId="75" fillId="0" borderId="9" xfId="56" applyNumberFormat="1" applyFont="1" applyFill="1" applyBorder="1" applyAlignment="1">
      <alignment vertical="center"/>
    </xf>
    <xf numFmtId="175" fontId="19" fillId="0" borderId="9" xfId="56" applyNumberFormat="1" applyFont="1" applyFill="1" applyBorder="1" applyAlignment="1">
      <alignment vertical="center"/>
    </xf>
    <xf numFmtId="0" fontId="19" fillId="0" borderId="0" xfId="96" applyFont="1" applyFill="1" applyAlignment="1">
      <alignment horizontal="center" vertical="center"/>
      <protection/>
    </xf>
    <xf numFmtId="0" fontId="76" fillId="0" borderId="0" xfId="96" applyFont="1" applyFill="1" applyAlignment="1">
      <alignment horizontal="center" vertical="center"/>
      <protection/>
    </xf>
    <xf numFmtId="0" fontId="19" fillId="0" borderId="0" xfId="96" applyFont="1" applyFill="1" applyAlignment="1">
      <alignment vertical="center"/>
      <protection/>
    </xf>
    <xf numFmtId="49" fontId="19" fillId="0" borderId="0" xfId="96" applyNumberFormat="1" applyFont="1" applyFill="1" applyAlignment="1">
      <alignment horizontal="left" vertical="center"/>
      <protection/>
    </xf>
    <xf numFmtId="175" fontId="19" fillId="0" borderId="0" xfId="96" applyNumberFormat="1" applyFont="1" applyFill="1" applyAlignment="1">
      <alignment horizontal="left" vertical="center"/>
      <protection/>
    </xf>
    <xf numFmtId="4" fontId="19" fillId="0" borderId="0" xfId="96" applyNumberFormat="1" applyFont="1" applyFill="1" applyAlignment="1">
      <alignment horizontal="left" vertical="center"/>
      <protection/>
    </xf>
    <xf numFmtId="174" fontId="19" fillId="0" borderId="0" xfId="51" applyNumberFormat="1" applyFont="1" applyFill="1" applyAlignment="1">
      <alignment horizontal="left" vertical="center"/>
    </xf>
    <xf numFmtId="175" fontId="15" fillId="0" borderId="9" xfId="0" applyNumberFormat="1" applyFont="1" applyFill="1" applyBorder="1" applyAlignment="1">
      <alignment horizontal="right" vertical="center"/>
    </xf>
    <xf numFmtId="175" fontId="15" fillId="0" borderId="9" xfId="0" applyNumberFormat="1" applyFont="1" applyFill="1" applyBorder="1" applyAlignment="1">
      <alignment horizontal="center" vertical="center"/>
    </xf>
    <xf numFmtId="3" fontId="15" fillId="0" borderId="9" xfId="49" applyNumberFormat="1" applyFont="1" applyFill="1" applyBorder="1" applyAlignment="1">
      <alignment horizontal="center" vertical="center" wrapText="1"/>
    </xf>
    <xf numFmtId="3" fontId="19" fillId="0" borderId="9" xfId="49" applyNumberFormat="1" applyFont="1" applyFill="1" applyBorder="1" applyAlignment="1">
      <alignment horizontal="center" vertical="center" wrapText="1"/>
    </xf>
    <xf numFmtId="4" fontId="19" fillId="0" borderId="9" xfId="49" applyNumberFormat="1" applyFont="1" applyFill="1" applyBorder="1" applyAlignment="1">
      <alignment horizontal="center" vertical="center"/>
    </xf>
    <xf numFmtId="3" fontId="70" fillId="0" borderId="9" xfId="49" applyNumberFormat="1" applyFont="1" applyFill="1" applyBorder="1" applyAlignment="1">
      <alignment horizontal="center" vertical="center" wrapText="1"/>
    </xf>
    <xf numFmtId="4" fontId="70" fillId="0" borderId="9" xfId="49" applyNumberFormat="1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justify" vertical="center" wrapText="1"/>
    </xf>
    <xf numFmtId="0" fontId="19" fillId="0" borderId="9" xfId="0" applyFont="1" applyFill="1" applyBorder="1" applyAlignment="1" quotePrefix="1">
      <alignment horizontal="justify" vertical="center" wrapText="1"/>
    </xf>
    <xf numFmtId="175" fontId="19" fillId="0" borderId="0" xfId="0" applyNumberFormat="1" applyFont="1" applyFill="1" applyAlignment="1">
      <alignment vertical="center"/>
    </xf>
    <xf numFmtId="174" fontId="15" fillId="0" borderId="9" xfId="49" applyNumberFormat="1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top"/>
    </xf>
    <xf numFmtId="174" fontId="19" fillId="0" borderId="0" xfId="49" applyNumberFormat="1" applyFont="1" applyFill="1" applyAlignment="1">
      <alignment horizontal="center" vertical="center"/>
    </xf>
    <xf numFmtId="175" fontId="19" fillId="0" borderId="0" xfId="49" applyNumberFormat="1" applyFont="1" applyFill="1" applyAlignment="1">
      <alignment vertical="center"/>
    </xf>
    <xf numFmtId="49" fontId="19" fillId="0" borderId="0" xfId="0" applyNumberFormat="1" applyFont="1" applyFill="1" applyAlignment="1">
      <alignment horizontal="center" vertical="center"/>
    </xf>
    <xf numFmtId="49" fontId="15" fillId="0" borderId="9" xfId="0" applyNumberFormat="1" applyFont="1" applyFill="1" applyBorder="1" applyAlignment="1">
      <alignment horizontal="center" vertical="center"/>
    </xf>
    <xf numFmtId="49" fontId="175" fillId="0" borderId="9" xfId="0" applyNumberFormat="1" applyFont="1" applyFill="1" applyBorder="1" applyAlignment="1">
      <alignment horizontal="center" vertical="center"/>
    </xf>
    <xf numFmtId="174" fontId="175" fillId="0" borderId="9" xfId="49" applyNumberFormat="1" applyFont="1" applyFill="1" applyBorder="1" applyAlignment="1">
      <alignment horizontal="center" vertical="center"/>
    </xf>
    <xf numFmtId="175" fontId="175" fillId="0" borderId="9" xfId="49" applyNumberFormat="1" applyFont="1" applyFill="1" applyBorder="1" applyAlignment="1">
      <alignment horizontal="center" vertical="center"/>
    </xf>
    <xf numFmtId="0" fontId="175" fillId="0" borderId="9" xfId="49" applyNumberFormat="1" applyFont="1" applyFill="1" applyBorder="1" applyAlignment="1">
      <alignment horizontal="center" vertical="center"/>
    </xf>
    <xf numFmtId="2" fontId="175" fillId="0" borderId="9" xfId="49" applyNumberFormat="1" applyFont="1" applyFill="1" applyBorder="1" applyAlignment="1">
      <alignment horizontal="center" vertical="center"/>
    </xf>
    <xf numFmtId="49" fontId="19" fillId="0" borderId="9" xfId="0" applyNumberFormat="1" applyFont="1" applyFill="1" applyBorder="1" applyAlignment="1">
      <alignment horizontal="center" vertical="center"/>
    </xf>
    <xf numFmtId="4" fontId="175" fillId="0" borderId="9" xfId="49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174" fontId="19" fillId="0" borderId="0" xfId="49" applyNumberFormat="1" applyFont="1" applyFill="1" applyBorder="1" applyAlignment="1">
      <alignment horizontal="center" vertical="center"/>
    </xf>
    <xf numFmtId="175" fontId="19" fillId="0" borderId="0" xfId="49" applyNumberFormat="1" applyFont="1" applyFill="1" applyBorder="1" applyAlignment="1">
      <alignment horizontal="center" vertical="center"/>
    </xf>
    <xf numFmtId="49" fontId="19" fillId="0" borderId="9" xfId="0" applyNumberFormat="1" applyFont="1" applyFill="1" applyBorder="1" applyAlignment="1" quotePrefix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175" fontId="19" fillId="0" borderId="0" xfId="0" applyNumberFormat="1" applyFont="1" applyFill="1" applyAlignment="1">
      <alignment horizontal="left" vertical="center"/>
    </xf>
    <xf numFmtId="0" fontId="20" fillId="0" borderId="36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/>
    </xf>
    <xf numFmtId="0" fontId="170" fillId="0" borderId="9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Alignment="1">
      <alignment horizontal="center"/>
    </xf>
    <xf numFmtId="0" fontId="19" fillId="0" borderId="9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0" borderId="9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43" fontId="15" fillId="0" borderId="9" xfId="49" applyNumberFormat="1" applyFont="1" applyBorder="1" applyAlignment="1">
      <alignment/>
    </xf>
    <xf numFmtId="0" fontId="19" fillId="0" borderId="9" xfId="0" applyFont="1" applyBorder="1" applyAlignment="1">
      <alignment/>
    </xf>
    <xf numFmtId="43" fontId="19" fillId="0" borderId="9" xfId="49" applyNumberFormat="1" applyFont="1" applyBorder="1" applyAlignment="1">
      <alignment/>
    </xf>
    <xf numFmtId="0" fontId="19" fillId="36" borderId="9" xfId="0" applyFont="1" applyFill="1" applyBorder="1" applyAlignment="1">
      <alignment horizontal="center"/>
    </xf>
    <xf numFmtId="0" fontId="19" fillId="36" borderId="9" xfId="0" applyFont="1" applyFill="1" applyBorder="1" applyAlignment="1">
      <alignment/>
    </xf>
    <xf numFmtId="43" fontId="19" fillId="36" borderId="9" xfId="49" applyNumberFormat="1" applyFont="1" applyFill="1" applyBorder="1" applyAlignment="1">
      <alignment/>
    </xf>
    <xf numFmtId="0" fontId="19" fillId="36" borderId="0" xfId="0" applyFont="1" applyFill="1" applyAlignment="1">
      <alignment/>
    </xf>
    <xf numFmtId="43" fontId="175" fillId="0" borderId="9" xfId="49" applyNumberFormat="1" applyFont="1" applyBorder="1" applyAlignment="1">
      <alignment/>
    </xf>
    <xf numFmtId="0" fontId="176" fillId="37" borderId="0" xfId="0" applyFont="1" applyFill="1" applyAlignment="1">
      <alignment/>
    </xf>
    <xf numFmtId="0" fontId="15" fillId="0" borderId="9" xfId="0" applyFont="1" applyBorder="1" applyAlignment="1">
      <alignment shrinkToFit="1"/>
    </xf>
    <xf numFmtId="178" fontId="15" fillId="0" borderId="9" xfId="49" applyNumberFormat="1" applyFont="1" applyBorder="1" applyAlignment="1">
      <alignment/>
    </xf>
    <xf numFmtId="10" fontId="19" fillId="36" borderId="0" xfId="100" applyNumberFormat="1" applyFont="1" applyFill="1" applyAlignment="1">
      <alignment/>
    </xf>
    <xf numFmtId="10" fontId="19" fillId="0" borderId="0" xfId="100" applyNumberFormat="1" applyFont="1" applyAlignment="1">
      <alignment/>
    </xf>
    <xf numFmtId="43" fontId="176" fillId="0" borderId="9" xfId="49" applyNumberFormat="1" applyFont="1" applyBorder="1" applyAlignment="1">
      <alignment/>
    </xf>
    <xf numFmtId="0" fontId="15" fillId="36" borderId="9" xfId="0" applyFont="1" applyFill="1" applyBorder="1" applyAlignment="1">
      <alignment horizontal="center"/>
    </xf>
    <xf numFmtId="0" fontId="15" fillId="36" borderId="9" xfId="0" applyFont="1" applyFill="1" applyBorder="1" applyAlignment="1">
      <alignment/>
    </xf>
    <xf numFmtId="43" fontId="15" fillId="36" borderId="9" xfId="49" applyNumberFormat="1" applyFont="1" applyFill="1" applyBorder="1" applyAlignment="1">
      <alignment/>
    </xf>
    <xf numFmtId="0" fontId="15" fillId="36" borderId="0" xfId="0" applyFont="1" applyFill="1" applyAlignment="1">
      <alignment/>
    </xf>
    <xf numFmtId="199" fontId="15" fillId="0" borderId="9" xfId="49" applyNumberFormat="1" applyFont="1" applyBorder="1" applyAlignment="1">
      <alignment/>
    </xf>
    <xf numFmtId="9" fontId="19" fillId="0" borderId="9" xfId="49" applyNumberFormat="1" applyFont="1" applyBorder="1" applyAlignment="1">
      <alignment/>
    </xf>
    <xf numFmtId="1" fontId="175" fillId="0" borderId="0" xfId="0" applyNumberFormat="1" applyFont="1" applyAlignment="1">
      <alignment/>
    </xf>
    <xf numFmtId="0" fontId="19" fillId="37" borderId="0" xfId="0" applyFont="1" applyFill="1" applyAlignment="1">
      <alignment/>
    </xf>
    <xf numFmtId="0" fontId="176" fillId="0" borderId="0" xfId="0" applyFont="1" applyFill="1" applyAlignment="1">
      <alignment/>
    </xf>
    <xf numFmtId="178" fontId="19" fillId="36" borderId="9" xfId="49" applyNumberFormat="1" applyFont="1" applyFill="1" applyBorder="1" applyAlignment="1">
      <alignment/>
    </xf>
    <xf numFmtId="0" fontId="18" fillId="36" borderId="0" xfId="0" applyFont="1" applyFill="1" applyBorder="1" applyAlignment="1">
      <alignment wrapText="1"/>
    </xf>
    <xf numFmtId="0" fontId="15" fillId="0" borderId="9" xfId="0" applyFont="1" applyBorder="1" applyAlignment="1">
      <alignment horizontal="center" vertical="center" wrapText="1"/>
    </xf>
    <xf numFmtId="178" fontId="15" fillId="36" borderId="9" xfId="49" applyNumberFormat="1" applyFont="1" applyFill="1" applyBorder="1" applyAlignment="1">
      <alignment/>
    </xf>
    <xf numFmtId="0" fontId="19" fillId="0" borderId="9" xfId="0" applyFont="1" applyBorder="1" applyAlignment="1">
      <alignment shrinkToFit="1"/>
    </xf>
    <xf numFmtId="0" fontId="19" fillId="36" borderId="37" xfId="0" applyFont="1" applyFill="1" applyBorder="1" applyAlignment="1">
      <alignment horizontal="center"/>
    </xf>
    <xf numFmtId="0" fontId="19" fillId="36" borderId="37" xfId="0" applyFont="1" applyFill="1" applyBorder="1" applyAlignment="1">
      <alignment/>
    </xf>
    <xf numFmtId="0" fontId="18" fillId="36" borderId="37" xfId="0" applyFont="1" applyFill="1" applyBorder="1" applyAlignment="1">
      <alignment wrapText="1"/>
    </xf>
    <xf numFmtId="0" fontId="82" fillId="0" borderId="0" xfId="0" applyFont="1" applyFill="1" applyAlignment="1">
      <alignment/>
    </xf>
    <xf numFmtId="0" fontId="83" fillId="0" borderId="0" xfId="0" applyFont="1" applyFill="1" applyAlignment="1">
      <alignment horizontal="center"/>
    </xf>
    <xf numFmtId="0" fontId="83" fillId="0" borderId="0" xfId="0" applyFont="1" applyFill="1" applyAlignment="1">
      <alignment/>
    </xf>
    <xf numFmtId="0" fontId="86" fillId="0" borderId="0" xfId="0" applyFont="1" applyFill="1" applyAlignment="1">
      <alignment/>
    </xf>
    <xf numFmtId="49" fontId="6" fillId="0" borderId="9" xfId="0" applyNumberFormat="1" applyFont="1" applyFill="1" applyBorder="1" applyAlignment="1">
      <alignment wrapText="1" shrinkToFit="1"/>
    </xf>
    <xf numFmtId="0" fontId="42" fillId="0" borderId="9" xfId="0" applyFont="1" applyFill="1" applyBorder="1" applyAlignment="1">
      <alignment horizontal="center" shrinkToFit="1"/>
    </xf>
    <xf numFmtId="40" fontId="68" fillId="0" borderId="9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84" fillId="36" borderId="9" xfId="0" applyFont="1" applyFill="1" applyBorder="1" applyAlignment="1">
      <alignment horizontal="center" shrinkToFit="1"/>
    </xf>
    <xf numFmtId="40" fontId="68" fillId="36" borderId="9" xfId="0" applyNumberFormat="1" applyFont="1" applyFill="1" applyBorder="1" applyAlignment="1">
      <alignment horizontal="center" vertical="center" wrapText="1"/>
    </xf>
    <xf numFmtId="0" fontId="8" fillId="36" borderId="0" xfId="0" applyFont="1" applyFill="1" applyAlignment="1">
      <alignment/>
    </xf>
    <xf numFmtId="49" fontId="8" fillId="0" borderId="9" xfId="0" applyNumberFormat="1" applyFont="1" applyFill="1" applyBorder="1" applyAlignment="1">
      <alignment wrapText="1" shrinkToFit="1"/>
    </xf>
    <xf numFmtId="0" fontId="84" fillId="0" borderId="9" xfId="0" applyFont="1" applyFill="1" applyBorder="1" applyAlignment="1">
      <alignment horizontal="center" shrinkToFit="1"/>
    </xf>
    <xf numFmtId="0" fontId="8" fillId="0" borderId="0" xfId="0" applyFont="1" applyFill="1" applyAlignment="1">
      <alignment/>
    </xf>
    <xf numFmtId="0" fontId="89" fillId="0" borderId="9" xfId="0" applyFont="1" applyFill="1" applyBorder="1" applyAlignment="1">
      <alignment horizontal="center" shrinkToFit="1"/>
    </xf>
    <xf numFmtId="0" fontId="40" fillId="0" borderId="9" xfId="0" applyFont="1" applyFill="1" applyBorder="1" applyAlignment="1">
      <alignment horizontal="center" shrinkToFit="1"/>
    </xf>
    <xf numFmtId="0" fontId="90" fillId="0" borderId="0" xfId="0" applyFont="1" applyFill="1" applyAlignment="1">
      <alignment/>
    </xf>
    <xf numFmtId="201" fontId="68" fillId="0" borderId="9" xfId="0" applyNumberFormat="1" applyFont="1" applyFill="1" applyBorder="1" applyAlignment="1">
      <alignment horizontal="center" vertical="center" wrapText="1"/>
    </xf>
    <xf numFmtId="40" fontId="63" fillId="0" borderId="9" xfId="0" applyNumberFormat="1" applyFont="1" applyFill="1" applyBorder="1" applyAlignment="1">
      <alignment horizontal="center" vertical="center" wrapText="1"/>
    </xf>
    <xf numFmtId="40" fontId="63" fillId="36" borderId="9" xfId="0" applyNumberFormat="1" applyFont="1" applyFill="1" applyBorder="1" applyAlignment="1">
      <alignment horizontal="center" vertical="center" wrapText="1"/>
    </xf>
    <xf numFmtId="40" fontId="68" fillId="0" borderId="9" xfId="0" applyNumberFormat="1" applyFont="1" applyFill="1" applyBorder="1" applyAlignment="1">
      <alignment horizontal="center" wrapText="1"/>
    </xf>
    <xf numFmtId="38" fontId="68" fillId="36" borderId="9" xfId="0" applyNumberFormat="1" applyFont="1" applyFill="1" applyBorder="1" applyAlignment="1">
      <alignment horizontal="center" vertical="center" wrapText="1"/>
    </xf>
    <xf numFmtId="0" fontId="63" fillId="0" borderId="0" xfId="0" applyFont="1" applyAlignment="1">
      <alignment/>
    </xf>
    <xf numFmtId="0" fontId="68" fillId="0" borderId="0" xfId="0" applyFont="1" applyAlignment="1">
      <alignment/>
    </xf>
    <xf numFmtId="0" fontId="92" fillId="0" borderId="0" xfId="0" applyFont="1" applyAlignment="1">
      <alignment/>
    </xf>
    <xf numFmtId="0" fontId="63" fillId="0" borderId="9" xfId="0" applyFont="1" applyBorder="1" applyAlignment="1">
      <alignment horizontal="center"/>
    </xf>
    <xf numFmtId="178" fontId="19" fillId="0" borderId="0" xfId="0" applyNumberFormat="1" applyFont="1" applyAlignment="1">
      <alignment/>
    </xf>
    <xf numFmtId="177" fontId="19" fillId="0" borderId="0" xfId="0" applyNumberFormat="1" applyFont="1" applyAlignment="1">
      <alignment/>
    </xf>
    <xf numFmtId="0" fontId="68" fillId="0" borderId="9" xfId="0" applyFont="1" applyBorder="1" applyAlignment="1">
      <alignment horizontal="center"/>
    </xf>
    <xf numFmtId="0" fontId="63" fillId="0" borderId="9" xfId="0" applyFont="1" applyBorder="1" applyAlignment="1">
      <alignment horizontal="left"/>
    </xf>
    <xf numFmtId="0" fontId="92" fillId="0" borderId="9" xfId="0" applyFont="1" applyBorder="1" applyAlignment="1">
      <alignment/>
    </xf>
    <xf numFmtId="49" fontId="63" fillId="36" borderId="9" xfId="0" applyNumberFormat="1" applyFont="1" applyFill="1" applyBorder="1" applyAlignment="1">
      <alignment wrapText="1" shrinkToFit="1"/>
    </xf>
    <xf numFmtId="0" fontId="71" fillId="36" borderId="9" xfId="0" applyNumberFormat="1" applyFont="1" applyFill="1" applyBorder="1" applyAlignment="1">
      <alignment horizontal="center" shrinkToFit="1"/>
    </xf>
    <xf numFmtId="49" fontId="63" fillId="36" borderId="9" xfId="0" applyNumberFormat="1" applyFont="1" applyFill="1" applyBorder="1" applyAlignment="1">
      <alignment shrinkToFit="1"/>
    </xf>
    <xf numFmtId="0" fontId="88" fillId="36" borderId="9" xfId="0" applyFont="1" applyFill="1" applyBorder="1" applyAlignment="1">
      <alignment horizontal="center" shrinkToFit="1"/>
    </xf>
    <xf numFmtId="0" fontId="42" fillId="36" borderId="9" xfId="0" applyNumberFormat="1" applyFont="1" applyFill="1" applyBorder="1" applyAlignment="1">
      <alignment horizontal="center" shrinkToFit="1"/>
    </xf>
    <xf numFmtId="49" fontId="68" fillId="36" borderId="9" xfId="0" applyNumberFormat="1" applyFont="1" applyFill="1" applyBorder="1" applyAlignment="1" quotePrefix="1">
      <alignment shrinkToFit="1"/>
    </xf>
    <xf numFmtId="0" fontId="18" fillId="36" borderId="9" xfId="49" applyNumberFormat="1" applyFont="1" applyFill="1" applyBorder="1" applyAlignment="1">
      <alignment horizontal="center" shrinkToFit="1"/>
    </xf>
    <xf numFmtId="49" fontId="68" fillId="36" borderId="9" xfId="0" applyNumberFormat="1" applyFont="1" applyFill="1" applyBorder="1" applyAlignment="1">
      <alignment shrinkToFit="1"/>
    </xf>
    <xf numFmtId="0" fontId="82" fillId="36" borderId="0" xfId="0" applyFont="1" applyFill="1" applyAlignment="1">
      <alignment/>
    </xf>
    <xf numFmtId="0" fontId="83" fillId="36" borderId="0" xfId="0" applyFont="1" applyFill="1" applyAlignment="1">
      <alignment horizontal="center"/>
    </xf>
    <xf numFmtId="0" fontId="83" fillId="36" borderId="0" xfId="0" applyFont="1" applyFill="1" applyAlignment="1">
      <alignment/>
    </xf>
    <xf numFmtId="0" fontId="71" fillId="36" borderId="0" xfId="0" applyFont="1" applyFill="1" applyBorder="1" applyAlignment="1">
      <alignment horizontal="center" vertical="center" wrapText="1"/>
    </xf>
    <xf numFmtId="0" fontId="87" fillId="36" borderId="0" xfId="0" applyFont="1" applyFill="1" applyAlignment="1">
      <alignment horizontal="center"/>
    </xf>
    <xf numFmtId="0" fontId="58" fillId="36" borderId="24" xfId="0" applyFont="1" applyFill="1" applyBorder="1" applyAlignment="1">
      <alignment horizontal="center" vertical="center" wrapText="1"/>
    </xf>
    <xf numFmtId="40" fontId="100" fillId="36" borderId="0" xfId="0" applyNumberFormat="1" applyFont="1" applyFill="1" applyBorder="1" applyAlignment="1">
      <alignment horizontal="center" vertical="center" wrapText="1"/>
    </xf>
    <xf numFmtId="40" fontId="9" fillId="36" borderId="0" xfId="0" applyNumberFormat="1" applyFont="1" applyFill="1" applyBorder="1" applyAlignment="1">
      <alignment horizontal="center" vertical="center" wrapText="1"/>
    </xf>
    <xf numFmtId="0" fontId="6" fillId="36" borderId="0" xfId="0" applyFont="1" applyFill="1" applyAlignment="1">
      <alignment/>
    </xf>
    <xf numFmtId="175" fontId="63" fillId="36" borderId="9" xfId="0" applyNumberFormat="1" applyFont="1" applyFill="1" applyBorder="1" applyAlignment="1">
      <alignment horizontal="center" vertical="center" shrinkToFit="1"/>
    </xf>
    <xf numFmtId="40" fontId="82" fillId="36" borderId="0" xfId="0" applyNumberFormat="1" applyFont="1" applyFill="1" applyAlignment="1">
      <alignment/>
    </xf>
    <xf numFmtId="40" fontId="68" fillId="36" borderId="9" xfId="0" applyNumberFormat="1" applyFont="1" applyFill="1" applyBorder="1" applyAlignment="1">
      <alignment horizontal="center" wrapText="1"/>
    </xf>
    <xf numFmtId="40" fontId="9" fillId="36" borderId="0" xfId="0" applyNumberFormat="1" applyFont="1" applyFill="1" applyBorder="1" applyAlignment="1">
      <alignment vertical="center" wrapText="1"/>
    </xf>
    <xf numFmtId="206" fontId="68" fillId="36" borderId="9" xfId="0" applyNumberFormat="1" applyFont="1" applyFill="1" applyBorder="1" applyAlignment="1">
      <alignment horizontal="center" vertical="center" wrapText="1"/>
    </xf>
    <xf numFmtId="202" fontId="8" fillId="36" borderId="0" xfId="0" applyNumberFormat="1" applyFont="1" applyFill="1" applyAlignment="1">
      <alignment/>
    </xf>
    <xf numFmtId="177" fontId="8" fillId="36" borderId="0" xfId="0" applyNumberFormat="1" applyFont="1" applyFill="1" applyAlignment="1">
      <alignment/>
    </xf>
    <xf numFmtId="200" fontId="8" fillId="36" borderId="0" xfId="0" applyNumberFormat="1" applyFont="1" applyFill="1" applyAlignment="1">
      <alignment/>
    </xf>
    <xf numFmtId="0" fontId="7" fillId="36" borderId="0" xfId="0" applyFont="1" applyFill="1" applyAlignment="1">
      <alignment horizontal="center"/>
    </xf>
    <xf numFmtId="2" fontId="83" fillId="36" borderId="0" xfId="0" applyNumberFormat="1" applyFont="1" applyFill="1" applyAlignment="1">
      <alignment/>
    </xf>
    <xf numFmtId="40" fontId="83" fillId="36" borderId="9" xfId="0" applyNumberFormat="1" applyFont="1" applyFill="1" applyBorder="1" applyAlignment="1">
      <alignment/>
    </xf>
    <xf numFmtId="0" fontId="83" fillId="36" borderId="9" xfId="0" applyFont="1" applyFill="1" applyBorder="1" applyAlignment="1">
      <alignment/>
    </xf>
    <xf numFmtId="49" fontId="68" fillId="0" borderId="9" xfId="0" applyNumberFormat="1" applyFont="1" applyBorder="1" applyAlignment="1">
      <alignment wrapText="1" shrinkToFit="1"/>
    </xf>
    <xf numFmtId="0" fontId="18" fillId="0" borderId="9" xfId="0" applyFont="1" applyBorder="1" applyAlignment="1">
      <alignment horizontal="center"/>
    </xf>
    <xf numFmtId="0" fontId="100" fillId="0" borderId="9" xfId="0" applyFont="1" applyBorder="1" applyAlignment="1">
      <alignment horizontal="center" vertical="center"/>
    </xf>
    <xf numFmtId="0" fontId="84" fillId="36" borderId="9" xfId="0" applyFont="1" applyFill="1" applyBorder="1" applyAlignment="1">
      <alignment horizontal="center"/>
    </xf>
    <xf numFmtId="49" fontId="73" fillId="36" borderId="9" xfId="0" applyNumberFormat="1" applyFont="1" applyFill="1" applyBorder="1" applyAlignment="1">
      <alignment horizontal="justify" vertical="justify" wrapText="1" shrinkToFit="1"/>
    </xf>
    <xf numFmtId="49" fontId="38" fillId="36" borderId="9" xfId="0" applyNumberFormat="1" applyFont="1" applyFill="1" applyBorder="1" applyAlignment="1">
      <alignment horizontal="justify" vertical="justify" wrapText="1" shrinkToFit="1"/>
    </xf>
    <xf numFmtId="0" fontId="38" fillId="36" borderId="9" xfId="0" applyFont="1" applyFill="1" applyBorder="1" applyAlignment="1">
      <alignment horizontal="center"/>
    </xf>
    <xf numFmtId="49" fontId="8" fillId="36" borderId="9" xfId="0" applyNumberFormat="1" applyFont="1" applyFill="1" applyBorder="1" applyAlignment="1">
      <alignment wrapText="1"/>
    </xf>
    <xf numFmtId="0" fontId="58" fillId="36" borderId="9" xfId="0" applyFont="1" applyFill="1" applyBorder="1" applyAlignment="1">
      <alignment horizontal="center" vertical="center" wrapText="1"/>
    </xf>
    <xf numFmtId="49" fontId="8" fillId="36" borderId="9" xfId="0" applyNumberFormat="1" applyFont="1" applyFill="1" applyBorder="1" applyAlignment="1">
      <alignment vertical="top" wrapText="1"/>
    </xf>
    <xf numFmtId="49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36" borderId="0" xfId="0" applyFill="1" applyAlignment="1">
      <alignment/>
    </xf>
    <xf numFmtId="0" fontId="6" fillId="36" borderId="9" xfId="0" applyFont="1" applyFill="1" applyBorder="1" applyAlignment="1">
      <alignment horizontal="center" vertical="center" wrapText="1"/>
    </xf>
    <xf numFmtId="176" fontId="0" fillId="0" borderId="0" xfId="0" applyNumberFormat="1" applyAlignment="1">
      <alignment/>
    </xf>
    <xf numFmtId="207" fontId="0" fillId="0" borderId="0" xfId="0" applyNumberFormat="1" applyAlignment="1">
      <alignment/>
    </xf>
    <xf numFmtId="0" fontId="54" fillId="36" borderId="0" xfId="0" applyFont="1" applyFill="1" applyAlignment="1">
      <alignment/>
    </xf>
    <xf numFmtId="0" fontId="75" fillId="36" borderId="9" xfId="0" applyFont="1" applyFill="1" applyBorder="1" applyAlignment="1">
      <alignment horizontal="center" vertical="center"/>
    </xf>
    <xf numFmtId="0" fontId="0" fillId="36" borderId="9" xfId="0" applyFill="1" applyBorder="1" applyAlignment="1">
      <alignment/>
    </xf>
    <xf numFmtId="0" fontId="54" fillId="36" borderId="9" xfId="0" applyFont="1" applyFill="1" applyBorder="1" applyAlignment="1">
      <alignment/>
    </xf>
    <xf numFmtId="0" fontId="42" fillId="36" borderId="9" xfId="0" applyFont="1" applyFill="1" applyBorder="1" applyAlignment="1">
      <alignment horizontal="center"/>
    </xf>
    <xf numFmtId="3" fontId="58" fillId="36" borderId="9" xfId="0" applyNumberFormat="1" applyFont="1" applyFill="1" applyBorder="1" applyAlignment="1">
      <alignment horizontal="right" vertical="center" wrapText="1"/>
    </xf>
    <xf numFmtId="0" fontId="8" fillId="36" borderId="9" xfId="0" applyFont="1" applyFill="1" applyBorder="1" applyAlignment="1">
      <alignment/>
    </xf>
    <xf numFmtId="201" fontId="0" fillId="36" borderId="9" xfId="0" applyNumberFormat="1" applyFill="1" applyBorder="1" applyAlignment="1">
      <alignment/>
    </xf>
    <xf numFmtId="0" fontId="8" fillId="0" borderId="9" xfId="0" applyFont="1" applyBorder="1" applyAlignment="1">
      <alignment/>
    </xf>
    <xf numFmtId="201" fontId="0" fillId="0" borderId="9" xfId="0" applyNumberFormat="1" applyBorder="1" applyAlignment="1">
      <alignment/>
    </xf>
    <xf numFmtId="176" fontId="0" fillId="0" borderId="9" xfId="0" applyNumberFormat="1" applyBorder="1" applyAlignment="1">
      <alignment/>
    </xf>
    <xf numFmtId="0" fontId="72" fillId="38" borderId="35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left" vertical="center" wrapText="1"/>
    </xf>
    <xf numFmtId="49" fontId="101" fillId="36" borderId="9" xfId="0" applyNumberFormat="1" applyFont="1" applyFill="1" applyBorder="1" applyAlignment="1">
      <alignment horizontal="center" vertical="center" wrapText="1"/>
    </xf>
    <xf numFmtId="0" fontId="70" fillId="0" borderId="1" xfId="0" applyFont="1" applyFill="1" applyBorder="1" applyAlignment="1">
      <alignment horizontal="right" vertical="center"/>
    </xf>
    <xf numFmtId="0" fontId="15" fillId="0" borderId="0" xfId="0" applyFont="1" applyFill="1" applyAlignment="1">
      <alignment vertical="center" wrapText="1"/>
    </xf>
    <xf numFmtId="174" fontId="19" fillId="0" borderId="9" xfId="51" applyNumberFormat="1" applyFont="1" applyFill="1" applyBorder="1" applyAlignment="1">
      <alignment horizontal="center" vertical="center" wrapText="1"/>
    </xf>
    <xf numFmtId="3" fontId="19" fillId="0" borderId="9" xfId="51" applyNumberFormat="1" applyFont="1" applyFill="1" applyBorder="1" applyAlignment="1">
      <alignment horizontal="center" vertical="center"/>
    </xf>
    <xf numFmtId="177" fontId="19" fillId="0" borderId="9" xfId="51" applyNumberFormat="1" applyFont="1" applyFill="1" applyBorder="1" applyAlignment="1">
      <alignment horizontal="center" vertical="center"/>
    </xf>
    <xf numFmtId="174" fontId="15" fillId="0" borderId="9" xfId="51" applyNumberFormat="1" applyFont="1" applyFill="1" applyBorder="1" applyAlignment="1">
      <alignment horizontal="center" vertical="center" wrapText="1"/>
    </xf>
    <xf numFmtId="3" fontId="15" fillId="0" borderId="9" xfId="51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43" fontId="15" fillId="0" borderId="37" xfId="49" applyFont="1" applyFill="1" applyBorder="1" applyAlignment="1">
      <alignment horizontal="center" vertical="center"/>
    </xf>
    <xf numFmtId="43" fontId="15" fillId="0" borderId="9" xfId="49" applyFont="1" applyFill="1" applyBorder="1" applyAlignment="1">
      <alignment horizontal="right" vertical="center"/>
    </xf>
    <xf numFmtId="43" fontId="15" fillId="0" borderId="9" xfId="49" applyFont="1" applyFill="1" applyBorder="1" applyAlignment="1">
      <alignment horizontal="center" vertical="center"/>
    </xf>
    <xf numFmtId="43" fontId="15" fillId="0" borderId="9" xfId="49" applyFont="1" applyFill="1" applyBorder="1" applyAlignment="1">
      <alignment horizontal="left" vertical="center"/>
    </xf>
    <xf numFmtId="43" fontId="70" fillId="0" borderId="9" xfId="49" applyFont="1" applyFill="1" applyBorder="1" applyAlignment="1">
      <alignment horizontal="center" vertical="center" wrapText="1"/>
    </xf>
    <xf numFmtId="43" fontId="70" fillId="0" borderId="9" xfId="49" applyFont="1" applyFill="1" applyBorder="1" applyAlignment="1">
      <alignment horizontal="right" vertical="center"/>
    </xf>
    <xf numFmtId="43" fontId="70" fillId="0" borderId="9" xfId="49" applyFont="1" applyFill="1" applyBorder="1" applyAlignment="1">
      <alignment horizontal="center" vertical="center"/>
    </xf>
    <xf numFmtId="43" fontId="70" fillId="0" borderId="9" xfId="49" applyFont="1" applyFill="1" applyBorder="1" applyAlignment="1">
      <alignment horizontal="left" vertical="center"/>
    </xf>
    <xf numFmtId="43" fontId="19" fillId="0" borderId="9" xfId="49" applyFont="1" applyFill="1" applyBorder="1" applyAlignment="1">
      <alignment horizontal="center" vertical="center"/>
    </xf>
    <xf numFmtId="43" fontId="19" fillId="0" borderId="9" xfId="49" applyFont="1" applyFill="1" applyBorder="1" applyAlignment="1">
      <alignment horizontal="right" vertical="center"/>
    </xf>
    <xf numFmtId="43" fontId="19" fillId="0" borderId="9" xfId="49" applyFont="1" applyFill="1" applyBorder="1" applyAlignment="1">
      <alignment horizontal="left" vertical="center"/>
    </xf>
    <xf numFmtId="43" fontId="19" fillId="0" borderId="9" xfId="49" applyFont="1" applyFill="1" applyBorder="1" applyAlignment="1">
      <alignment horizontal="center" vertical="center" wrapText="1"/>
    </xf>
    <xf numFmtId="43" fontId="19" fillId="0" borderId="9" xfId="49" applyFont="1" applyFill="1" applyBorder="1" applyAlignment="1">
      <alignment vertical="center"/>
    </xf>
    <xf numFmtId="43" fontId="70" fillId="0" borderId="9" xfId="49" applyFont="1" applyFill="1" applyBorder="1" applyAlignment="1">
      <alignment vertical="center"/>
    </xf>
    <xf numFmtId="43" fontId="15" fillId="0" borderId="9" xfId="49" applyFont="1" applyFill="1" applyBorder="1" applyAlignment="1">
      <alignment horizontal="center" vertical="center" wrapText="1"/>
    </xf>
    <xf numFmtId="178" fontId="70" fillId="0" borderId="9" xfId="49" applyNumberFormat="1" applyFont="1" applyFill="1" applyBorder="1" applyAlignment="1">
      <alignment horizontal="center" vertical="center"/>
    </xf>
    <xf numFmtId="178" fontId="70" fillId="0" borderId="9" xfId="49" applyNumberFormat="1" applyFont="1" applyFill="1" applyBorder="1" applyAlignment="1">
      <alignment horizontal="right" vertical="center"/>
    </xf>
    <xf numFmtId="178" fontId="70" fillId="0" borderId="9" xfId="49" applyNumberFormat="1" applyFont="1" applyFill="1" applyBorder="1" applyAlignment="1">
      <alignment horizontal="left" vertical="center"/>
    </xf>
    <xf numFmtId="43" fontId="57" fillId="0" borderId="0" xfId="0" applyNumberFormat="1" applyFont="1" applyFill="1" applyAlignment="1">
      <alignment vertical="center"/>
    </xf>
    <xf numFmtId="43" fontId="15" fillId="0" borderId="9" xfId="0" applyNumberFormat="1" applyFont="1" applyFill="1" applyBorder="1" applyAlignment="1">
      <alignment horizontal="center" vertical="center" wrapText="1"/>
    </xf>
    <xf numFmtId="2" fontId="177" fillId="0" borderId="9" xfId="0" applyNumberFormat="1" applyFont="1" applyBorder="1" applyAlignment="1">
      <alignment/>
    </xf>
    <xf numFmtId="43" fontId="15" fillId="0" borderId="9" xfId="0" applyNumberFormat="1" applyFont="1" applyBorder="1" applyAlignment="1">
      <alignment horizontal="center"/>
    </xf>
    <xf numFmtId="0" fontId="175" fillId="37" borderId="9" xfId="0" applyFont="1" applyFill="1" applyBorder="1" applyAlignment="1">
      <alignment horizontal="center"/>
    </xf>
    <xf numFmtId="0" fontId="175" fillId="37" borderId="9" xfId="0" applyFont="1" applyFill="1" applyBorder="1" applyAlignment="1">
      <alignment/>
    </xf>
    <xf numFmtId="0" fontId="175" fillId="37" borderId="0" xfId="0" applyFont="1" applyFill="1" applyAlignment="1">
      <alignment/>
    </xf>
    <xf numFmtId="0" fontId="15" fillId="37" borderId="0" xfId="0" applyFont="1" applyFill="1" applyAlignment="1">
      <alignment/>
    </xf>
    <xf numFmtId="0" fontId="19" fillId="37" borderId="9" xfId="0" applyFont="1" applyFill="1" applyBorder="1" applyAlignment="1">
      <alignment horizontal="center"/>
    </xf>
    <xf numFmtId="0" fontId="19" fillId="37" borderId="9" xfId="0" applyFont="1" applyFill="1" applyBorder="1" applyAlignment="1">
      <alignment/>
    </xf>
    <xf numFmtId="178" fontId="19" fillId="37" borderId="9" xfId="49" applyNumberFormat="1" applyFont="1" applyFill="1" applyBorder="1" applyAlignment="1">
      <alignment/>
    </xf>
    <xf numFmtId="43" fontId="19" fillId="0" borderId="9" xfId="0" applyNumberFormat="1" applyFont="1" applyBorder="1" applyAlignment="1">
      <alignment horizontal="center"/>
    </xf>
    <xf numFmtId="2" fontId="19" fillId="0" borderId="9" xfId="0" applyNumberFormat="1" applyFont="1" applyBorder="1" applyAlignment="1">
      <alignment horizontal="center"/>
    </xf>
    <xf numFmtId="49" fontId="19" fillId="36" borderId="9" xfId="0" applyNumberFormat="1" applyFont="1" applyFill="1" applyBorder="1" applyAlignment="1" quotePrefix="1">
      <alignment shrinkToFit="1"/>
    </xf>
    <xf numFmtId="0" fontId="19" fillId="36" borderId="9" xfId="49" applyNumberFormat="1" applyFont="1" applyFill="1" applyBorder="1" applyAlignment="1">
      <alignment horizontal="center" shrinkToFit="1"/>
    </xf>
    <xf numFmtId="0" fontId="19" fillId="0" borderId="9" xfId="0" applyFont="1" applyBorder="1" applyAlignment="1" quotePrefix="1">
      <alignment horizontal="left" vertical="justify"/>
    </xf>
    <xf numFmtId="174" fontId="15" fillId="0" borderId="9" xfId="0" applyNumberFormat="1" applyFont="1" applyFill="1" applyBorder="1" applyAlignment="1">
      <alignment horizontal="center" vertical="center" wrapText="1"/>
    </xf>
    <xf numFmtId="174" fontId="19" fillId="37" borderId="9" xfId="49" applyNumberFormat="1" applyFont="1" applyFill="1" applyBorder="1" applyAlignment="1">
      <alignment horizontal="center" vertical="center"/>
    </xf>
    <xf numFmtId="43" fontId="19" fillId="0" borderId="9" xfId="49" applyNumberFormat="1" applyFont="1" applyFill="1" applyBorder="1" applyAlignment="1">
      <alignment horizontal="center" vertical="center"/>
    </xf>
    <xf numFmtId="0" fontId="19" fillId="37" borderId="9" xfId="0" applyFont="1" applyFill="1" applyBorder="1" applyAlignment="1">
      <alignment horizontal="center" vertical="top"/>
    </xf>
    <xf numFmtId="0" fontId="19" fillId="37" borderId="9" xfId="0" applyFont="1" applyFill="1" applyBorder="1" applyAlignment="1" quotePrefix="1">
      <alignment vertical="center" wrapText="1"/>
    </xf>
    <xf numFmtId="0" fontId="19" fillId="37" borderId="9" xfId="0" applyFont="1" applyFill="1" applyBorder="1" applyAlignment="1" quotePrefix="1">
      <alignment horizontal="center" vertical="center" wrapText="1"/>
    </xf>
    <xf numFmtId="175" fontId="19" fillId="37" borderId="9" xfId="49" applyNumberFormat="1" applyFont="1" applyFill="1" applyBorder="1" applyAlignment="1">
      <alignment horizontal="center" vertical="center"/>
    </xf>
    <xf numFmtId="0" fontId="20" fillId="37" borderId="0" xfId="0" applyFont="1" applyFill="1" applyAlignment="1">
      <alignment vertical="center"/>
    </xf>
    <xf numFmtId="0" fontId="58" fillId="37" borderId="0" xfId="0" applyFont="1" applyFill="1" applyAlignment="1">
      <alignment vertical="center"/>
    </xf>
    <xf numFmtId="174" fontId="19" fillId="0" borderId="9" xfId="0" applyNumberFormat="1" applyFont="1" applyFill="1" applyBorder="1" applyAlignment="1">
      <alignment horizontal="center" vertical="center" wrapText="1"/>
    </xf>
    <xf numFmtId="0" fontId="20" fillId="36" borderId="0" xfId="0" applyFont="1" applyFill="1" applyAlignment="1">
      <alignment horizontal="center" vertical="center" wrapText="1"/>
    </xf>
    <xf numFmtId="0" fontId="15" fillId="36" borderId="9" xfId="0" applyFont="1" applyFill="1" applyBorder="1" applyAlignment="1">
      <alignment horizontal="center" vertical="center" wrapText="1"/>
    </xf>
    <xf numFmtId="49" fontId="8" fillId="39" borderId="9" xfId="0" applyNumberFormat="1" applyFont="1" applyFill="1" applyBorder="1" applyAlignment="1">
      <alignment wrapText="1" shrinkToFit="1"/>
    </xf>
    <xf numFmtId="0" fontId="40" fillId="39" borderId="9" xfId="0" applyFont="1" applyFill="1" applyBorder="1" applyAlignment="1">
      <alignment horizontal="center" shrinkToFit="1"/>
    </xf>
    <xf numFmtId="201" fontId="68" fillId="39" borderId="9" xfId="0" applyNumberFormat="1" applyFont="1" applyFill="1" applyBorder="1" applyAlignment="1">
      <alignment horizontal="center" vertical="center" wrapText="1"/>
    </xf>
    <xf numFmtId="0" fontId="90" fillId="39" borderId="0" xfId="0" applyFont="1" applyFill="1" applyAlignment="1">
      <alignment/>
    </xf>
    <xf numFmtId="208" fontId="68" fillId="0" borderId="9" xfId="0" applyNumberFormat="1" applyFont="1" applyFill="1" applyBorder="1" applyAlignment="1">
      <alignment horizontal="center" vertical="center" wrapText="1"/>
    </xf>
    <xf numFmtId="0" fontId="102" fillId="0" borderId="0" xfId="0" applyFont="1" applyAlignment="1">
      <alignment/>
    </xf>
    <xf numFmtId="174" fontId="102" fillId="0" borderId="0" xfId="49" applyNumberFormat="1" applyFont="1" applyAlignment="1">
      <alignment/>
    </xf>
    <xf numFmtId="0" fontId="104" fillId="0" borderId="0" xfId="0" applyFont="1" applyAlignment="1">
      <alignment/>
    </xf>
    <xf numFmtId="0" fontId="105" fillId="0" borderId="9" xfId="0" applyFont="1" applyBorder="1" applyAlignment="1">
      <alignment horizontal="center"/>
    </xf>
    <xf numFmtId="0" fontId="102" fillId="0" borderId="9" xfId="0" applyFont="1" applyBorder="1" applyAlignment="1">
      <alignment horizontal="right"/>
    </xf>
    <xf numFmtId="0" fontId="102" fillId="0" borderId="9" xfId="0" applyFont="1" applyBorder="1" applyAlignment="1">
      <alignment horizontal="center"/>
    </xf>
    <xf numFmtId="174" fontId="102" fillId="0" borderId="9" xfId="49" applyNumberFormat="1" applyFont="1" applyBorder="1" applyAlignment="1">
      <alignment horizontal="center"/>
    </xf>
    <xf numFmtId="0" fontId="102" fillId="0" borderId="9" xfId="0" applyFont="1" applyBorder="1" applyAlignment="1">
      <alignment horizontal="center" wrapText="1"/>
    </xf>
    <xf numFmtId="174" fontId="102" fillId="0" borderId="9" xfId="49" applyNumberFormat="1" applyFont="1" applyBorder="1" applyAlignment="1">
      <alignment vertical="center"/>
    </xf>
    <xf numFmtId="0" fontId="102" fillId="0" borderId="9" xfId="0" applyFont="1" applyBorder="1" applyAlignment="1">
      <alignment vertical="center"/>
    </xf>
    <xf numFmtId="0" fontId="102" fillId="0" borderId="9" xfId="0" applyFont="1" applyBorder="1" applyAlignment="1">
      <alignment horizontal="center" vertical="center" wrapText="1"/>
    </xf>
    <xf numFmtId="0" fontId="106" fillId="0" borderId="9" xfId="0" applyFont="1" applyBorder="1" applyAlignment="1">
      <alignment horizontal="center" vertical="center"/>
    </xf>
    <xf numFmtId="0" fontId="106" fillId="0" borderId="9" xfId="0" applyFont="1" applyBorder="1" applyAlignment="1">
      <alignment horizontal="center" vertical="center" wrapText="1"/>
    </xf>
    <xf numFmtId="0" fontId="106" fillId="0" borderId="9" xfId="0" applyFont="1" applyBorder="1" applyAlignment="1">
      <alignment horizontal="center"/>
    </xf>
    <xf numFmtId="205" fontId="106" fillId="0" borderId="9" xfId="0" applyNumberFormat="1" applyFont="1" applyBorder="1" applyAlignment="1">
      <alignment horizontal="center"/>
    </xf>
    <xf numFmtId="174" fontId="106" fillId="0" borderId="9" xfId="49" applyNumberFormat="1" applyFont="1" applyBorder="1" applyAlignment="1">
      <alignment horizontal="center" shrinkToFit="1"/>
    </xf>
    <xf numFmtId="205" fontId="107" fillId="0" borderId="9" xfId="0" applyNumberFormat="1" applyFont="1" applyBorder="1" applyAlignment="1">
      <alignment horizontal="center"/>
    </xf>
    <xf numFmtId="174" fontId="107" fillId="0" borderId="9" xfId="49" applyNumberFormat="1" applyFont="1" applyBorder="1" applyAlignment="1">
      <alignment shrinkToFit="1"/>
    </xf>
    <xf numFmtId="174" fontId="107" fillId="0" borderId="9" xfId="49" applyNumberFormat="1" applyFont="1" applyBorder="1" applyAlignment="1">
      <alignment horizontal="center" vertical="center" wrapText="1" shrinkToFit="1"/>
    </xf>
    <xf numFmtId="174" fontId="107" fillId="0" borderId="9" xfId="49" applyNumberFormat="1" applyFont="1" applyBorder="1" applyAlignment="1">
      <alignment horizontal="center" wrapText="1" shrinkToFit="1"/>
    </xf>
    <xf numFmtId="174" fontId="106" fillId="0" borderId="9" xfId="49" applyNumberFormat="1" applyFont="1" applyBorder="1" applyAlignment="1">
      <alignment shrinkToFit="1"/>
    </xf>
    <xf numFmtId="174" fontId="107" fillId="0" borderId="9" xfId="49" applyNumberFormat="1" applyFont="1" applyBorder="1" applyAlignment="1">
      <alignment horizontal="center" shrinkToFit="1"/>
    </xf>
    <xf numFmtId="174" fontId="107" fillId="0" borderId="9" xfId="49" applyNumberFormat="1" applyFont="1" applyBorder="1" applyAlignment="1">
      <alignment/>
    </xf>
    <xf numFmtId="174" fontId="107" fillId="0" borderId="9" xfId="49" applyNumberFormat="1" applyFont="1" applyBorder="1" applyAlignment="1">
      <alignment horizontal="center"/>
    </xf>
    <xf numFmtId="174" fontId="107" fillId="0" borderId="9" xfId="49" applyNumberFormat="1" applyFont="1" applyBorder="1" applyAlignment="1">
      <alignment horizontal="center" wrapText="1"/>
    </xf>
    <xf numFmtId="43" fontId="107" fillId="0" borderId="9" xfId="49" applyFont="1" applyBorder="1" applyAlignment="1">
      <alignment/>
    </xf>
    <xf numFmtId="0" fontId="107" fillId="0" borderId="9" xfId="0" applyFont="1" applyBorder="1" applyAlignment="1">
      <alignment/>
    </xf>
    <xf numFmtId="0" fontId="107" fillId="0" borderId="9" xfId="0" applyFont="1" applyBorder="1" applyAlignment="1">
      <alignment horizontal="center"/>
    </xf>
    <xf numFmtId="0" fontId="107" fillId="0" borderId="9" xfId="0" applyFont="1" applyBorder="1" applyAlignment="1">
      <alignment horizontal="center" wrapText="1"/>
    </xf>
    <xf numFmtId="0" fontId="71" fillId="0" borderId="9" xfId="0" applyFont="1" applyBorder="1" applyAlignment="1">
      <alignment horizontal="center" vertical="center"/>
    </xf>
    <xf numFmtId="205" fontId="106" fillId="0" borderId="9" xfId="0" applyNumberFormat="1" applyFont="1" applyBorder="1" applyAlignment="1">
      <alignment horizontal="center" wrapText="1"/>
    </xf>
    <xf numFmtId="0" fontId="106" fillId="0" borderId="0" xfId="0" applyFont="1" applyAlignment="1">
      <alignment/>
    </xf>
    <xf numFmtId="0" fontId="106" fillId="0" borderId="0" xfId="0" applyFont="1" applyAlignment="1">
      <alignment horizontal="center"/>
    </xf>
    <xf numFmtId="205" fontId="106" fillId="0" borderId="0" xfId="0" applyNumberFormat="1" applyFont="1" applyAlignment="1">
      <alignment/>
    </xf>
    <xf numFmtId="43" fontId="106" fillId="0" borderId="0" xfId="0" applyNumberFormat="1" applyFont="1" applyAlignment="1">
      <alignment/>
    </xf>
    <xf numFmtId="0" fontId="107" fillId="0" borderId="0" xfId="0" applyFont="1" applyAlignment="1">
      <alignment/>
    </xf>
    <xf numFmtId="43" fontId="107" fillId="0" borderId="0" xfId="0" applyNumberFormat="1" applyFont="1" applyAlignment="1">
      <alignment/>
    </xf>
    <xf numFmtId="205" fontId="106" fillId="0" borderId="0" xfId="0" applyNumberFormat="1" applyFont="1" applyAlignment="1">
      <alignment horizontal="center"/>
    </xf>
    <xf numFmtId="0" fontId="107" fillId="0" borderId="0" xfId="0" applyFont="1" applyAlignment="1" quotePrefix="1">
      <alignment/>
    </xf>
    <xf numFmtId="205" fontId="107" fillId="0" borderId="0" xfId="0" applyNumberFormat="1" applyFont="1" applyAlignment="1">
      <alignment shrinkToFit="1"/>
    </xf>
    <xf numFmtId="205" fontId="106" fillId="0" borderId="0" xfId="0" applyNumberFormat="1" applyFont="1" applyAlignment="1">
      <alignment shrinkToFit="1"/>
    </xf>
    <xf numFmtId="43" fontId="106" fillId="0" borderId="0" xfId="0" applyNumberFormat="1" applyFont="1" applyAlignment="1">
      <alignment shrinkToFit="1"/>
    </xf>
    <xf numFmtId="0" fontId="106" fillId="0" borderId="0" xfId="0" applyFont="1" applyAlignment="1">
      <alignment horizontal="center" shrinkToFit="1"/>
    </xf>
    <xf numFmtId="174" fontId="107" fillId="0" borderId="0" xfId="49" applyNumberFormat="1" applyFont="1" applyAlignment="1">
      <alignment shrinkToFit="1"/>
    </xf>
    <xf numFmtId="174" fontId="106" fillId="0" borderId="0" xfId="0" applyNumberFormat="1" applyFont="1" applyAlignment="1">
      <alignment shrinkToFit="1"/>
    </xf>
    <xf numFmtId="0" fontId="105" fillId="0" borderId="36" xfId="0" applyFont="1" applyBorder="1" applyAlignment="1">
      <alignment horizontal="center"/>
    </xf>
    <xf numFmtId="0" fontId="105" fillId="0" borderId="9" xfId="0" applyFont="1" applyBorder="1" applyAlignment="1">
      <alignment/>
    </xf>
    <xf numFmtId="174" fontId="105" fillId="0" borderId="9" xfId="49" applyNumberFormat="1" applyFont="1" applyBorder="1" applyAlignment="1">
      <alignment/>
    </xf>
    <xf numFmtId="174" fontId="105" fillId="0" borderId="36" xfId="49" applyNumberFormat="1" applyFont="1" applyBorder="1" applyAlignment="1">
      <alignment/>
    </xf>
    <xf numFmtId="0" fontId="102" fillId="0" borderId="9" xfId="0" applyFont="1" applyBorder="1" applyAlignment="1">
      <alignment/>
    </xf>
    <xf numFmtId="174" fontId="102" fillId="0" borderId="9" xfId="49" applyNumberFormat="1" applyFont="1" applyBorder="1" applyAlignment="1">
      <alignment/>
    </xf>
    <xf numFmtId="174" fontId="102" fillId="0" borderId="36" xfId="49" applyNumberFormat="1" applyFont="1" applyBorder="1" applyAlignment="1">
      <alignment/>
    </xf>
    <xf numFmtId="0" fontId="63" fillId="0" borderId="0" xfId="0" applyFont="1" applyAlignment="1">
      <alignment horizontal="center"/>
    </xf>
    <xf numFmtId="178" fontId="93" fillId="0" borderId="0" xfId="51" applyNumberFormat="1" applyFont="1" applyAlignment="1">
      <alignment/>
    </xf>
    <xf numFmtId="178" fontId="94" fillId="0" borderId="9" xfId="51" applyNumberFormat="1" applyFont="1" applyBorder="1" applyAlignment="1">
      <alignment shrinkToFit="1"/>
    </xf>
    <xf numFmtId="178" fontId="94" fillId="0" borderId="9" xfId="51" applyNumberFormat="1" applyFont="1" applyBorder="1" applyAlignment="1">
      <alignment horizontal="center"/>
    </xf>
    <xf numFmtId="178" fontId="94" fillId="0" borderId="9" xfId="51" applyNumberFormat="1" applyFont="1" applyBorder="1" applyAlignment="1">
      <alignment/>
    </xf>
    <xf numFmtId="178" fontId="15" fillId="0" borderId="9" xfId="51" applyNumberFormat="1" applyFont="1" applyBorder="1" applyAlignment="1">
      <alignment shrinkToFit="1"/>
    </xf>
    <xf numFmtId="174" fontId="94" fillId="0" borderId="9" xfId="51" applyNumberFormat="1" applyFont="1" applyBorder="1" applyAlignment="1">
      <alignment horizontal="center"/>
    </xf>
    <xf numFmtId="43" fontId="94" fillId="0" borderId="9" xfId="51" applyNumberFormat="1" applyFont="1" applyBorder="1" applyAlignment="1">
      <alignment horizontal="center"/>
    </xf>
    <xf numFmtId="174" fontId="94" fillId="0" borderId="9" xfId="51" applyNumberFormat="1" applyFont="1" applyBorder="1" applyAlignment="1">
      <alignment/>
    </xf>
    <xf numFmtId="178" fontId="95" fillId="0" borderId="9" xfId="51" applyNumberFormat="1" applyFont="1" applyBorder="1" applyAlignment="1">
      <alignment/>
    </xf>
    <xf numFmtId="174" fontId="96" fillId="0" borderId="9" xfId="51" applyNumberFormat="1" applyFont="1" applyBorder="1" applyAlignment="1">
      <alignment/>
    </xf>
    <xf numFmtId="178" fontId="96" fillId="0" borderId="9" xfId="51" applyNumberFormat="1" applyFont="1" applyBorder="1" applyAlignment="1">
      <alignment/>
    </xf>
    <xf numFmtId="178" fontId="15" fillId="0" borderId="9" xfId="51" applyNumberFormat="1" applyFont="1" applyBorder="1" applyAlignment="1">
      <alignment/>
    </xf>
    <xf numFmtId="178" fontId="95" fillId="0" borderId="9" xfId="51" applyNumberFormat="1" applyFont="1" applyBorder="1" applyAlignment="1">
      <alignment horizontal="left"/>
    </xf>
    <xf numFmtId="178" fontId="95" fillId="0" borderId="9" xfId="51" applyNumberFormat="1" applyFont="1" applyBorder="1" applyAlignment="1">
      <alignment horizontal="right"/>
    </xf>
    <xf numFmtId="178" fontId="95" fillId="0" borderId="9" xfId="51" applyNumberFormat="1" applyFont="1" applyBorder="1" applyAlignment="1">
      <alignment horizontal="center"/>
    </xf>
    <xf numFmtId="174" fontId="97" fillId="0" borderId="9" xfId="51" applyNumberFormat="1" applyFont="1" applyBorder="1" applyAlignment="1">
      <alignment/>
    </xf>
    <xf numFmtId="178" fontId="97" fillId="0" borderId="9" xfId="51" applyNumberFormat="1" applyFont="1" applyBorder="1" applyAlignment="1">
      <alignment/>
    </xf>
    <xf numFmtId="174" fontId="95" fillId="0" borderId="9" xfId="51" applyNumberFormat="1" applyFont="1" applyBorder="1" applyAlignment="1">
      <alignment horizontal="right"/>
    </xf>
    <xf numFmtId="174" fontId="95" fillId="0" borderId="9" xfId="51" applyNumberFormat="1" applyFont="1" applyBorder="1" applyAlignment="1">
      <alignment horizontal="center"/>
    </xf>
    <xf numFmtId="174" fontId="95" fillId="0" borderId="9" xfId="51" applyNumberFormat="1" applyFont="1" applyBorder="1" applyAlignment="1">
      <alignment/>
    </xf>
    <xf numFmtId="174" fontId="19" fillId="0" borderId="9" xfId="51" applyNumberFormat="1" applyFont="1" applyBorder="1" applyAlignment="1">
      <alignment horizontal="left"/>
    </xf>
    <xf numFmtId="174" fontId="19" fillId="0" borderId="9" xfId="51" applyNumberFormat="1" applyFont="1" applyBorder="1" applyAlignment="1">
      <alignment horizontal="right"/>
    </xf>
    <xf numFmtId="174" fontId="95" fillId="0" borderId="9" xfId="51" applyNumberFormat="1" applyFont="1" applyBorder="1" applyAlignment="1">
      <alignment horizontal="center" shrinkToFit="1"/>
    </xf>
    <xf numFmtId="178" fontId="95" fillId="0" borderId="9" xfId="51" applyNumberFormat="1" applyFont="1" applyBorder="1" applyAlignment="1">
      <alignment horizontal="left" shrinkToFit="1"/>
    </xf>
    <xf numFmtId="178" fontId="15" fillId="0" borderId="9" xfId="51" applyNumberFormat="1" applyFont="1" applyBorder="1" applyAlignment="1">
      <alignment horizontal="left"/>
    </xf>
    <xf numFmtId="178" fontId="94" fillId="0" borderId="9" xfId="51" applyNumberFormat="1" applyFont="1" applyBorder="1" applyAlignment="1">
      <alignment horizontal="left"/>
    </xf>
    <xf numFmtId="178" fontId="94" fillId="0" borderId="9" xfId="51" applyNumberFormat="1" applyFont="1" applyBorder="1" applyAlignment="1">
      <alignment horizontal="left" shrinkToFit="1"/>
    </xf>
    <xf numFmtId="178" fontId="19" fillId="0" borderId="9" xfId="51" applyNumberFormat="1" applyFont="1" applyBorder="1" applyAlignment="1">
      <alignment horizontal="left" shrinkToFit="1"/>
    </xf>
    <xf numFmtId="178" fontId="19" fillId="0" borderId="0" xfId="51" applyNumberFormat="1" applyFont="1" applyAlignment="1">
      <alignment/>
    </xf>
    <xf numFmtId="178" fontId="68" fillId="0" borderId="0" xfId="51" applyNumberFormat="1" applyFont="1" applyAlignment="1">
      <alignment/>
    </xf>
    <xf numFmtId="174" fontId="95" fillId="0" borderId="9" xfId="51" applyNumberFormat="1" applyFont="1" applyBorder="1" applyAlignment="1">
      <alignment/>
    </xf>
    <xf numFmtId="174" fontId="95" fillId="0" borderId="9" xfId="51" applyNumberFormat="1" applyFont="1" applyBorder="1" applyAlignment="1">
      <alignment horizontal="left" shrinkToFit="1"/>
    </xf>
    <xf numFmtId="0" fontId="68" fillId="0" borderId="9" xfId="0" applyFont="1" applyBorder="1" applyAlignment="1">
      <alignment/>
    </xf>
    <xf numFmtId="178" fontId="93" fillId="0" borderId="9" xfId="51" applyNumberFormat="1" applyFont="1" applyBorder="1" applyAlignment="1">
      <alignment/>
    </xf>
    <xf numFmtId="2" fontId="68" fillId="0" borderId="9" xfId="0" applyNumberFormat="1" applyFont="1" applyBorder="1" applyAlignment="1">
      <alignment/>
    </xf>
    <xf numFmtId="209" fontId="68" fillId="0" borderId="9" xfId="0" applyNumberFormat="1" applyFont="1" applyBorder="1" applyAlignment="1">
      <alignment/>
    </xf>
    <xf numFmtId="0" fontId="18" fillId="0" borderId="0" xfId="0" applyFont="1" applyAlignment="1">
      <alignment/>
    </xf>
    <xf numFmtId="0" fontId="71" fillId="0" borderId="9" xfId="0" applyFont="1" applyFill="1" applyBorder="1" applyAlignment="1">
      <alignment horizontal="center" vertical="center" wrapText="1"/>
    </xf>
    <xf numFmtId="0" fontId="178" fillId="0" borderId="0" xfId="0" applyFont="1" applyFill="1" applyBorder="1" applyAlignment="1">
      <alignment horizontal="right" vertical="center"/>
    </xf>
    <xf numFmtId="0" fontId="72" fillId="38" borderId="35" xfId="0" applyFont="1" applyFill="1" applyBorder="1" applyAlignment="1">
      <alignment horizontal="center" vertical="center"/>
    </xf>
    <xf numFmtId="201" fontId="8" fillId="36" borderId="0" xfId="0" applyNumberFormat="1" applyFont="1" applyFill="1" applyAlignment="1">
      <alignment/>
    </xf>
    <xf numFmtId="0" fontId="19" fillId="0" borderId="9" xfId="49" applyNumberFormat="1" applyFont="1" applyFill="1" applyBorder="1" applyAlignment="1">
      <alignment horizontal="center" vertical="center" wrapText="1"/>
    </xf>
    <xf numFmtId="0" fontId="19" fillId="0" borderId="9" xfId="49" applyNumberFormat="1" applyFont="1" applyFill="1" applyBorder="1" applyAlignment="1">
      <alignment horizontal="center" vertical="center"/>
    </xf>
    <xf numFmtId="178" fontId="15" fillId="0" borderId="9" xfId="49" applyNumberFormat="1" applyFont="1" applyFill="1" applyBorder="1" applyAlignment="1">
      <alignment horizontal="center" vertical="center" wrapText="1"/>
    </xf>
    <xf numFmtId="178" fontId="19" fillId="0" borderId="9" xfId="49" applyNumberFormat="1" applyFont="1" applyFill="1" applyBorder="1" applyAlignment="1">
      <alignment horizontal="center" vertical="center" wrapText="1"/>
    </xf>
    <xf numFmtId="2" fontId="19" fillId="0" borderId="9" xfId="0" applyNumberFormat="1" applyFont="1" applyFill="1" applyBorder="1" applyAlignment="1">
      <alignment horizontal="center" vertical="center" wrapText="1"/>
    </xf>
    <xf numFmtId="178" fontId="15" fillId="0" borderId="9" xfId="0" applyNumberFormat="1" applyFont="1" applyFill="1" applyBorder="1" applyAlignment="1">
      <alignment horizontal="center" vertical="center" wrapText="1"/>
    </xf>
    <xf numFmtId="178" fontId="58" fillId="0" borderId="0" xfId="0" applyNumberFormat="1" applyFont="1" applyFill="1" applyAlignment="1">
      <alignment vertical="center" wrapText="1"/>
    </xf>
    <xf numFmtId="177" fontId="19" fillId="0" borderId="9" xfId="0" applyNumberFormat="1" applyFont="1" applyFill="1" applyBorder="1" applyAlignment="1">
      <alignment horizontal="center" vertical="center" wrapText="1"/>
    </xf>
    <xf numFmtId="0" fontId="20" fillId="36" borderId="9" xfId="0" applyNumberFormat="1" applyFont="1" applyFill="1" applyBorder="1" applyAlignment="1">
      <alignment horizontal="center" vertical="center" wrapText="1"/>
    </xf>
    <xf numFmtId="43" fontId="58" fillId="36" borderId="9" xfId="51" applyFont="1" applyFill="1" applyBorder="1" applyAlignment="1">
      <alignment horizontal="left" vertical="center" wrapText="1"/>
    </xf>
    <xf numFmtId="199" fontId="20" fillId="36" borderId="9" xfId="49" applyNumberFormat="1" applyFont="1" applyFill="1" applyBorder="1" applyAlignment="1">
      <alignment horizontal="right" vertical="center" wrapText="1"/>
    </xf>
    <xf numFmtId="174" fontId="20" fillId="36" borderId="9" xfId="49" applyNumberFormat="1" applyFont="1" applyFill="1" applyBorder="1" applyAlignment="1">
      <alignment horizontal="right" vertical="center" wrapText="1"/>
    </xf>
    <xf numFmtId="0" fontId="20" fillId="36" borderId="9" xfId="51" applyNumberFormat="1" applyFont="1" applyFill="1" applyBorder="1" applyAlignment="1">
      <alignment vertical="center" wrapText="1"/>
    </xf>
    <xf numFmtId="0" fontId="20" fillId="36" borderId="9" xfId="0" applyNumberFormat="1" applyFont="1" applyFill="1" applyBorder="1" applyAlignment="1">
      <alignment vertical="center" wrapText="1"/>
    </xf>
    <xf numFmtId="1" fontId="20" fillId="36" borderId="9" xfId="0" applyNumberFormat="1" applyFont="1" applyFill="1" applyBorder="1" applyAlignment="1">
      <alignment vertical="center" wrapText="1"/>
    </xf>
    <xf numFmtId="43" fontId="19" fillId="36" borderId="9" xfId="0" applyNumberFormat="1" applyFont="1" applyFill="1" applyBorder="1" applyAlignment="1">
      <alignment horizontal="center"/>
    </xf>
    <xf numFmtId="178" fontId="19" fillId="0" borderId="9" xfId="49" applyNumberFormat="1" applyFont="1" applyBorder="1" applyAlignment="1">
      <alignment/>
    </xf>
    <xf numFmtId="178" fontId="19" fillId="0" borderId="9" xfId="49" applyNumberFormat="1" applyFont="1" applyBorder="1" applyAlignment="1">
      <alignment horizontal="right"/>
    </xf>
    <xf numFmtId="1" fontId="15" fillId="0" borderId="9" xfId="0" applyNumberFormat="1" applyFont="1" applyBorder="1" applyAlignment="1">
      <alignment horizontal="right"/>
    </xf>
    <xf numFmtId="179" fontId="19" fillId="36" borderId="9" xfId="0" applyNumberFormat="1" applyFont="1" applyFill="1" applyBorder="1" applyAlignment="1">
      <alignment horizontal="center"/>
    </xf>
    <xf numFmtId="3" fontId="15" fillId="0" borderId="9" xfId="0" applyNumberFormat="1" applyFont="1" applyBorder="1" applyAlignment="1">
      <alignment horizontal="center"/>
    </xf>
    <xf numFmtId="43" fontId="19" fillId="0" borderId="9" xfId="49" applyNumberFormat="1" applyFont="1" applyFill="1" applyBorder="1" applyAlignment="1">
      <alignment horizontal="center" vertical="center" wrapText="1"/>
    </xf>
    <xf numFmtId="2" fontId="19" fillId="0" borderId="9" xfId="49" applyNumberFormat="1" applyFont="1" applyFill="1" applyBorder="1" applyAlignment="1">
      <alignment horizontal="center" vertical="center"/>
    </xf>
    <xf numFmtId="177" fontId="19" fillId="36" borderId="9" xfId="0" applyNumberFormat="1" applyFont="1" applyFill="1" applyBorder="1" applyAlignment="1">
      <alignment horizontal="right"/>
    </xf>
    <xf numFmtId="176" fontId="19" fillId="0" borderId="9" xfId="49" applyNumberFormat="1" applyFont="1" applyFill="1" applyBorder="1" applyAlignment="1">
      <alignment horizontal="center" vertical="center"/>
    </xf>
    <xf numFmtId="40" fontId="19" fillId="0" borderId="9" xfId="0" applyNumberFormat="1" applyFont="1" applyBorder="1" applyAlignment="1">
      <alignment horizontal="right"/>
    </xf>
    <xf numFmtId="43" fontId="19" fillId="36" borderId="9" xfId="49" applyFont="1" applyFill="1" applyBorder="1" applyAlignment="1">
      <alignment horizontal="center"/>
    </xf>
    <xf numFmtId="199" fontId="19" fillId="36" borderId="9" xfId="49" applyNumberFormat="1" applyFont="1" applyFill="1" applyBorder="1" applyAlignment="1">
      <alignment horizontal="center"/>
    </xf>
    <xf numFmtId="0" fontId="58" fillId="36" borderId="9" xfId="0" applyFont="1" applyFill="1" applyBorder="1" applyAlignment="1">
      <alignment horizontal="right"/>
    </xf>
    <xf numFmtId="0" fontId="18" fillId="36" borderId="9" xfId="0" applyFont="1" applyFill="1" applyBorder="1" applyAlignment="1">
      <alignment wrapText="1"/>
    </xf>
    <xf numFmtId="177" fontId="19" fillId="36" borderId="9" xfId="0" applyNumberFormat="1" applyFont="1" applyFill="1" applyBorder="1" applyAlignment="1">
      <alignment horizontal="center"/>
    </xf>
    <xf numFmtId="2" fontId="19" fillId="36" borderId="9" xfId="0" applyNumberFormat="1" applyFont="1" applyFill="1" applyBorder="1" applyAlignment="1">
      <alignment horizontal="center"/>
    </xf>
    <xf numFmtId="0" fontId="0" fillId="0" borderId="0" xfId="94">
      <alignment/>
      <protection/>
    </xf>
    <xf numFmtId="0" fontId="109" fillId="0" borderId="35" xfId="94" applyFont="1" applyFill="1" applyBorder="1" applyAlignment="1">
      <alignment horizontal="right" vertical="center"/>
      <protection/>
    </xf>
    <xf numFmtId="0" fontId="72" fillId="39" borderId="0" xfId="94" applyFont="1" applyFill="1" applyBorder="1" applyAlignment="1">
      <alignment vertical="center"/>
      <protection/>
    </xf>
    <xf numFmtId="0" fontId="32" fillId="0" borderId="0" xfId="94" applyFont="1" applyFill="1" applyAlignment="1">
      <alignment/>
      <protection/>
    </xf>
    <xf numFmtId="0" fontId="20" fillId="0" borderId="0" xfId="94" applyFont="1" applyFill="1" applyAlignment="1">
      <alignment vertical="center"/>
      <protection/>
    </xf>
    <xf numFmtId="0" fontId="63" fillId="0" borderId="0" xfId="94" applyFont="1" applyAlignment="1">
      <alignment horizontal="center" wrapText="1"/>
      <protection/>
    </xf>
    <xf numFmtId="0" fontId="63" fillId="0" borderId="9" xfId="94" applyFont="1" applyBorder="1" applyAlignment="1">
      <alignment horizontal="center" vertical="center" wrapText="1"/>
      <protection/>
    </xf>
    <xf numFmtId="0" fontId="63" fillId="0" borderId="9" xfId="94" applyFont="1" applyBorder="1" applyAlignment="1">
      <alignment horizontal="left" vertical="center" wrapText="1"/>
      <protection/>
    </xf>
    <xf numFmtId="0" fontId="68" fillId="0" borderId="9" xfId="94" applyFont="1" applyFill="1" applyBorder="1" applyAlignment="1">
      <alignment horizontal="center" vertical="center" wrapText="1"/>
      <protection/>
    </xf>
    <xf numFmtId="0" fontId="68" fillId="0" borderId="9" xfId="94" applyFont="1" applyFill="1" applyBorder="1" applyAlignment="1">
      <alignment vertical="center" wrapText="1"/>
      <protection/>
    </xf>
    <xf numFmtId="0" fontId="63" fillId="0" borderId="9" xfId="94" applyFont="1" applyFill="1" applyBorder="1" applyAlignment="1">
      <alignment horizontal="center" vertical="center" wrapText="1"/>
      <protection/>
    </xf>
    <xf numFmtId="0" fontId="68" fillId="0" borderId="9" xfId="94" applyFont="1" applyBorder="1" applyAlignment="1">
      <alignment horizontal="center" vertical="center" wrapText="1"/>
      <protection/>
    </xf>
    <xf numFmtId="0" fontId="68" fillId="0" borderId="9" xfId="94" applyFont="1" applyBorder="1" applyAlignment="1">
      <alignment vertical="center" wrapText="1"/>
      <protection/>
    </xf>
    <xf numFmtId="0" fontId="64" fillId="0" borderId="9" xfId="94" applyFont="1" applyBorder="1" applyAlignment="1">
      <alignment vertical="center" wrapText="1"/>
      <protection/>
    </xf>
    <xf numFmtId="0" fontId="68" fillId="0" borderId="9" xfId="94" applyFont="1" applyBorder="1" applyAlignment="1" quotePrefix="1">
      <alignment horizontal="center" vertical="center" wrapText="1"/>
      <protection/>
    </xf>
    <xf numFmtId="3" fontId="68" fillId="0" borderId="9" xfId="94" applyNumberFormat="1" applyFont="1" applyFill="1" applyBorder="1" applyAlignment="1">
      <alignment horizontal="center" vertical="center" wrapText="1"/>
      <protection/>
    </xf>
    <xf numFmtId="211" fontId="68" fillId="0" borderId="9" xfId="53" applyNumberFormat="1" applyFont="1" applyFill="1" applyBorder="1" applyAlignment="1">
      <alignment horizontal="center" vertical="center" wrapText="1"/>
    </xf>
    <xf numFmtId="211" fontId="68" fillId="0" borderId="9" xfId="94" applyNumberFormat="1" applyFont="1" applyFill="1" applyBorder="1" applyAlignment="1">
      <alignment horizontal="center" vertical="center" wrapText="1"/>
      <protection/>
    </xf>
    <xf numFmtId="211" fontId="68" fillId="0" borderId="9" xfId="94" applyNumberFormat="1" applyFont="1" applyFill="1" applyBorder="1" applyAlignment="1">
      <alignment vertical="center" wrapText="1"/>
      <protection/>
    </xf>
    <xf numFmtId="0" fontId="68" fillId="0" borderId="9" xfId="94" applyFont="1" applyBorder="1" applyAlignment="1">
      <alignment wrapText="1"/>
      <protection/>
    </xf>
    <xf numFmtId="0" fontId="63" fillId="0" borderId="9" xfId="94" applyFont="1" applyFill="1" applyBorder="1" applyAlignment="1">
      <alignment vertical="center" wrapText="1"/>
      <protection/>
    </xf>
    <xf numFmtId="0" fontId="63" fillId="36" borderId="0" xfId="0" applyFont="1" applyFill="1" applyAlignment="1">
      <alignment horizontal="center"/>
    </xf>
    <xf numFmtId="178" fontId="94" fillId="36" borderId="9" xfId="51" applyNumberFormat="1" applyFont="1" applyFill="1" applyBorder="1" applyAlignment="1">
      <alignment/>
    </xf>
    <xf numFmtId="174" fontId="94" fillId="36" borderId="9" xfId="51" applyNumberFormat="1" applyFont="1" applyFill="1" applyBorder="1" applyAlignment="1">
      <alignment horizontal="center"/>
    </xf>
    <xf numFmtId="178" fontId="81" fillId="36" borderId="9" xfId="51" applyNumberFormat="1" applyFont="1" applyFill="1" applyBorder="1" applyAlignment="1">
      <alignment/>
    </xf>
    <xf numFmtId="174" fontId="80" fillId="36" borderId="9" xfId="49" applyNumberFormat="1" applyFont="1" applyFill="1" applyBorder="1" applyAlignment="1">
      <alignment/>
    </xf>
    <xf numFmtId="43" fontId="80" fillId="36" borderId="9" xfId="49" applyFont="1" applyFill="1" applyBorder="1" applyAlignment="1">
      <alignment/>
    </xf>
    <xf numFmtId="178" fontId="95" fillId="36" borderId="9" xfId="51" applyNumberFormat="1" applyFont="1" applyFill="1" applyBorder="1" applyAlignment="1">
      <alignment/>
    </xf>
    <xf numFmtId="178" fontId="95" fillId="36" borderId="9" xfId="51" applyNumberFormat="1" applyFont="1" applyFill="1" applyBorder="1" applyAlignment="1">
      <alignment horizontal="center"/>
    </xf>
    <xf numFmtId="174" fontId="95" fillId="36" borderId="9" xfId="51" applyNumberFormat="1" applyFont="1" applyFill="1" applyBorder="1" applyAlignment="1">
      <alignment horizontal="center"/>
    </xf>
    <xf numFmtId="178" fontId="94" fillId="36" borderId="9" xfId="51" applyNumberFormat="1" applyFont="1" applyFill="1" applyBorder="1" applyAlignment="1">
      <alignment horizontal="center"/>
    </xf>
    <xf numFmtId="178" fontId="80" fillId="36" borderId="9" xfId="51" applyNumberFormat="1" applyFont="1" applyFill="1" applyBorder="1" applyAlignment="1">
      <alignment/>
    </xf>
    <xf numFmtId="174" fontId="80" fillId="36" borderId="9" xfId="51" applyNumberFormat="1" applyFont="1" applyFill="1" applyBorder="1" applyAlignment="1">
      <alignment/>
    </xf>
    <xf numFmtId="178" fontId="94" fillId="36" borderId="9" xfId="51" applyNumberFormat="1" applyFont="1" applyFill="1" applyBorder="1" applyAlignment="1">
      <alignment shrinkToFit="1"/>
    </xf>
    <xf numFmtId="178" fontId="98" fillId="36" borderId="9" xfId="51" applyNumberFormat="1" applyFont="1" applyFill="1" applyBorder="1" applyAlignment="1">
      <alignment/>
    </xf>
    <xf numFmtId="174" fontId="95" fillId="36" borderId="9" xfId="51" applyNumberFormat="1" applyFont="1" applyFill="1" applyBorder="1" applyAlignment="1">
      <alignment/>
    </xf>
    <xf numFmtId="178" fontId="71" fillId="36" borderId="9" xfId="0" applyNumberFormat="1" applyFont="1" applyFill="1" applyBorder="1" applyAlignment="1">
      <alignment/>
    </xf>
    <xf numFmtId="178" fontId="99" fillId="36" borderId="9" xfId="51" applyNumberFormat="1" applyFont="1" applyFill="1" applyBorder="1" applyAlignment="1">
      <alignment/>
    </xf>
    <xf numFmtId="174" fontId="99" fillId="36" borderId="9" xfId="51" applyNumberFormat="1" applyFont="1" applyFill="1" applyBorder="1" applyAlignment="1">
      <alignment/>
    </xf>
    <xf numFmtId="0" fontId="63" fillId="36" borderId="9" xfId="0" applyFont="1" applyFill="1" applyBorder="1" applyAlignment="1">
      <alignment horizontal="center"/>
    </xf>
    <xf numFmtId="0" fontId="68" fillId="36" borderId="9" xfId="0" applyFont="1" applyFill="1" applyBorder="1" applyAlignment="1">
      <alignment horizontal="center"/>
    </xf>
    <xf numFmtId="0" fontId="63" fillId="36" borderId="9" xfId="0" applyFont="1" applyFill="1" applyBorder="1" applyAlignment="1">
      <alignment horizontal="left"/>
    </xf>
    <xf numFmtId="0" fontId="105" fillId="0" borderId="0" xfId="0" applyFont="1" applyAlignment="1">
      <alignment horizontal="center"/>
    </xf>
    <xf numFmtId="178" fontId="68" fillId="0" borderId="9" xfId="49" applyNumberFormat="1" applyFont="1" applyBorder="1" applyAlignment="1">
      <alignment vertical="center" wrapText="1"/>
    </xf>
    <xf numFmtId="178" fontId="68" fillId="0" borderId="9" xfId="94" applyNumberFormat="1" applyFont="1" applyBorder="1" applyAlignment="1">
      <alignment vertical="center" wrapText="1"/>
      <protection/>
    </xf>
    <xf numFmtId="3" fontId="0" fillId="0" borderId="0" xfId="94" applyNumberFormat="1">
      <alignment/>
      <protection/>
    </xf>
    <xf numFmtId="0" fontId="110" fillId="0" borderId="0" xfId="0" applyFont="1" applyAlignment="1">
      <alignment/>
    </xf>
    <xf numFmtId="178" fontId="19" fillId="0" borderId="9" xfId="0" applyNumberFormat="1" applyFont="1" applyBorder="1" applyAlignment="1">
      <alignment/>
    </xf>
    <xf numFmtId="205" fontId="19" fillId="0" borderId="9" xfId="0" applyNumberFormat="1" applyFont="1" applyBorder="1" applyAlignment="1">
      <alignment/>
    </xf>
    <xf numFmtId="178" fontId="19" fillId="0" borderId="9" xfId="51" applyNumberFormat="1" applyFont="1" applyBorder="1" applyAlignment="1">
      <alignment/>
    </xf>
    <xf numFmtId="43" fontId="94" fillId="36" borderId="9" xfId="51" applyNumberFormat="1" applyFont="1" applyFill="1" applyBorder="1" applyAlignment="1">
      <alignment horizontal="center"/>
    </xf>
    <xf numFmtId="179" fontId="19" fillId="36" borderId="9" xfId="0" applyNumberFormat="1" applyFont="1" applyFill="1" applyBorder="1" applyAlignment="1">
      <alignment horizontal="right"/>
    </xf>
    <xf numFmtId="0" fontId="19" fillId="36" borderId="9" xfId="0" applyFont="1" applyFill="1" applyBorder="1" applyAlignment="1">
      <alignment horizontal="right"/>
    </xf>
    <xf numFmtId="175" fontId="19" fillId="40" borderId="9" xfId="49" applyNumberFormat="1" applyFont="1" applyFill="1" applyBorder="1" applyAlignment="1">
      <alignment horizontal="center" vertical="center"/>
    </xf>
    <xf numFmtId="0" fontId="15" fillId="36" borderId="9" xfId="0" applyFont="1" applyFill="1" applyBorder="1" applyAlignment="1">
      <alignment horizontal="center" vertical="center"/>
    </xf>
    <xf numFmtId="0" fontId="19" fillId="36" borderId="9" xfId="0" applyFont="1" applyFill="1" applyBorder="1" applyAlignment="1" quotePrefix="1">
      <alignment vertical="center" wrapText="1"/>
    </xf>
    <xf numFmtId="0" fontId="19" fillId="36" borderId="9" xfId="0" applyFont="1" applyFill="1" applyBorder="1" applyAlignment="1" quotePrefix="1">
      <alignment horizontal="center" vertical="center" wrapText="1"/>
    </xf>
    <xf numFmtId="174" fontId="19" fillId="36" borderId="9" xfId="49" applyNumberFormat="1" applyFont="1" applyFill="1" applyBorder="1" applyAlignment="1">
      <alignment horizontal="center" vertical="center" wrapText="1"/>
    </xf>
    <xf numFmtId="175" fontId="19" fillId="36" borderId="9" xfId="49" applyNumberFormat="1" applyFont="1" applyFill="1" applyBorder="1" applyAlignment="1">
      <alignment horizontal="center" vertical="center"/>
    </xf>
    <xf numFmtId="4" fontId="19" fillId="36" borderId="9" xfId="49" applyNumberFormat="1" applyFont="1" applyFill="1" applyBorder="1" applyAlignment="1">
      <alignment horizontal="center" vertical="center"/>
    </xf>
    <xf numFmtId="0" fontId="58" fillId="36" borderId="0" xfId="0" applyFont="1" applyFill="1" applyAlignment="1">
      <alignment vertical="center"/>
    </xf>
    <xf numFmtId="178" fontId="94" fillId="40" borderId="9" xfId="51" applyNumberFormat="1" applyFont="1" applyFill="1" applyBorder="1" applyAlignment="1">
      <alignment/>
    </xf>
    <xf numFmtId="0" fontId="20" fillId="40" borderId="0" xfId="0" applyFont="1" applyFill="1" applyAlignment="1">
      <alignment vertical="center"/>
    </xf>
    <xf numFmtId="179" fontId="20" fillId="36" borderId="9" xfId="0" applyNumberFormat="1" applyFont="1" applyFill="1" applyBorder="1" applyAlignment="1">
      <alignment horizontal="center" vertical="center" wrapText="1"/>
    </xf>
    <xf numFmtId="199" fontId="20" fillId="36" borderId="9" xfId="49" applyNumberFormat="1" applyFont="1" applyFill="1" applyBorder="1" applyAlignment="1">
      <alignment horizontal="center" vertical="center" wrapText="1"/>
    </xf>
    <xf numFmtId="4" fontId="19" fillId="40" borderId="9" xfId="49" applyNumberFormat="1" applyFont="1" applyFill="1" applyBorder="1" applyAlignment="1">
      <alignment horizontal="center" vertical="center"/>
    </xf>
    <xf numFmtId="0" fontId="19" fillId="40" borderId="9" xfId="0" applyFont="1" applyFill="1" applyBorder="1" applyAlignment="1">
      <alignment horizontal="center" vertical="center"/>
    </xf>
    <xf numFmtId="0" fontId="20" fillId="40" borderId="36" xfId="0" applyFont="1" applyFill="1" applyBorder="1" applyAlignment="1">
      <alignment vertical="center"/>
    </xf>
    <xf numFmtId="49" fontId="38" fillId="40" borderId="9" xfId="0" applyNumberFormat="1" applyFont="1" applyFill="1" applyBorder="1" applyAlignment="1">
      <alignment horizontal="justify" vertical="justify" wrapText="1" shrinkToFit="1"/>
    </xf>
    <xf numFmtId="0" fontId="38" fillId="40" borderId="9" xfId="0" applyFont="1" applyFill="1" applyBorder="1" applyAlignment="1">
      <alignment horizontal="center"/>
    </xf>
    <xf numFmtId="0" fontId="34" fillId="36" borderId="24" xfId="0" applyFont="1" applyFill="1" applyBorder="1" applyAlignment="1">
      <alignment horizontal="center" vertical="center" wrapText="1"/>
    </xf>
    <xf numFmtId="0" fontId="70" fillId="36" borderId="9" xfId="0" applyFont="1" applyFill="1" applyBorder="1" applyAlignment="1">
      <alignment horizontal="left" vertical="center" wrapText="1"/>
    </xf>
    <xf numFmtId="0" fontId="19" fillId="36" borderId="9" xfId="0" applyFont="1" applyFill="1" applyBorder="1" applyAlignment="1">
      <alignment horizontal="left" vertical="center" wrapText="1"/>
    </xf>
    <xf numFmtId="178" fontId="19" fillId="36" borderId="9" xfId="49" applyNumberFormat="1" applyFont="1" applyFill="1" applyBorder="1" applyAlignment="1">
      <alignment horizontal="center" vertical="center" wrapText="1"/>
    </xf>
    <xf numFmtId="178" fontId="70" fillId="36" borderId="9" xfId="49" applyNumberFormat="1" applyFont="1" applyFill="1" applyBorder="1" applyAlignment="1">
      <alignment horizontal="center" vertical="center" wrapText="1"/>
    </xf>
    <xf numFmtId="0" fontId="60" fillId="36" borderId="0" xfId="0" applyFont="1" applyFill="1" applyAlignment="1">
      <alignment vertical="center" wrapText="1"/>
    </xf>
    <xf numFmtId="0" fontId="60" fillId="36" borderId="0" xfId="0" applyNumberFormat="1" applyFont="1" applyFill="1" applyAlignment="1">
      <alignment vertical="center" wrapText="1"/>
    </xf>
    <xf numFmtId="0" fontId="15" fillId="36" borderId="24" xfId="0" applyFont="1" applyFill="1" applyBorder="1" applyAlignment="1">
      <alignment horizontal="center" vertical="center" wrapText="1"/>
    </xf>
    <xf numFmtId="0" fontId="58" fillId="36" borderId="0" xfId="0" applyFont="1" applyFill="1" applyAlignment="1">
      <alignment vertical="center" wrapText="1"/>
    </xf>
    <xf numFmtId="0" fontId="19" fillId="36" borderId="9" xfId="0" applyFont="1" applyFill="1" applyBorder="1" applyAlignment="1">
      <alignment horizontal="center" vertical="center"/>
    </xf>
    <xf numFmtId="0" fontId="19" fillId="36" borderId="9" xfId="0" applyFont="1" applyFill="1" applyBorder="1" applyAlignment="1">
      <alignment shrinkToFit="1"/>
    </xf>
    <xf numFmtId="199" fontId="19" fillId="0" borderId="9" xfId="49" applyNumberFormat="1" applyFont="1" applyFill="1" applyBorder="1" applyAlignment="1">
      <alignment horizontal="center" vertical="center" wrapText="1"/>
    </xf>
    <xf numFmtId="3" fontId="20" fillId="36" borderId="9" xfId="0" applyNumberFormat="1" applyFont="1" applyFill="1" applyBorder="1" applyAlignment="1">
      <alignment horizontal="right" vertical="center" wrapText="1"/>
    </xf>
    <xf numFmtId="3" fontId="20" fillId="36" borderId="9" xfId="0" applyNumberFormat="1" applyFont="1" applyFill="1" applyBorder="1" applyAlignment="1">
      <alignment horizontal="center" vertical="center" wrapText="1"/>
    </xf>
    <xf numFmtId="3" fontId="20" fillId="36" borderId="9" xfId="0" applyNumberFormat="1" applyFont="1" applyFill="1" applyBorder="1" applyAlignment="1">
      <alignment horizontal="right" wrapText="1"/>
    </xf>
    <xf numFmtId="0" fontId="15" fillId="36" borderId="9" xfId="0" applyFont="1" applyFill="1" applyBorder="1" applyAlignment="1">
      <alignment vertical="center" wrapText="1"/>
    </xf>
    <xf numFmtId="175" fontId="58" fillId="36" borderId="9" xfId="0" applyNumberFormat="1" applyFont="1" applyFill="1" applyBorder="1" applyAlignment="1">
      <alignment horizontal="right" vertical="center" wrapText="1"/>
    </xf>
    <xf numFmtId="174" fontId="58" fillId="36" borderId="9" xfId="51" applyNumberFormat="1" applyFont="1" applyFill="1" applyBorder="1" applyAlignment="1">
      <alignment vertical="center" wrapText="1"/>
    </xf>
    <xf numFmtId="176" fontId="58" fillId="36" borderId="9" xfId="0" applyNumberFormat="1" applyFont="1" applyFill="1" applyBorder="1" applyAlignment="1">
      <alignment horizontal="center" vertical="center" wrapText="1"/>
    </xf>
    <xf numFmtId="3" fontId="58" fillId="36" borderId="9" xfId="0" applyNumberFormat="1" applyFont="1" applyFill="1" applyBorder="1" applyAlignment="1">
      <alignment horizontal="center" vertical="center" wrapText="1"/>
    </xf>
    <xf numFmtId="0" fontId="58" fillId="36" borderId="9" xfId="0" applyFont="1" applyFill="1" applyBorder="1" applyAlignment="1">
      <alignment vertical="center" wrapText="1"/>
    </xf>
    <xf numFmtId="43" fontId="20" fillId="36" borderId="9" xfId="51" applyFont="1" applyFill="1" applyBorder="1" applyAlignment="1">
      <alignment horizontal="left" vertical="center" wrapText="1"/>
    </xf>
    <xf numFmtId="0" fontId="0" fillId="36" borderId="9" xfId="0" applyFont="1" applyFill="1" applyBorder="1" applyAlignment="1">
      <alignment/>
    </xf>
    <xf numFmtId="0" fontId="0" fillId="36" borderId="0" xfId="0" applyFont="1" applyFill="1" applyAlignment="1">
      <alignment/>
    </xf>
    <xf numFmtId="0" fontId="70" fillId="36" borderId="9" xfId="0" applyFont="1" applyFill="1" applyBorder="1" applyAlignment="1">
      <alignment horizontal="center" vertical="center"/>
    </xf>
    <xf numFmtId="0" fontId="57" fillId="36" borderId="0" xfId="0" applyFont="1" applyFill="1" applyAlignment="1">
      <alignment vertical="center"/>
    </xf>
    <xf numFmtId="43" fontId="19" fillId="36" borderId="9" xfId="49" applyNumberFormat="1" applyFont="1" applyFill="1" applyBorder="1" applyAlignment="1">
      <alignment horizontal="center" vertical="center" wrapText="1"/>
    </xf>
    <xf numFmtId="0" fontId="19" fillId="36" borderId="9" xfId="0" applyFont="1" applyFill="1" applyBorder="1" applyAlignment="1">
      <alignment vertical="center" wrapText="1"/>
    </xf>
    <xf numFmtId="0" fontId="19" fillId="36" borderId="9" xfId="0" applyFont="1" applyFill="1" applyBorder="1" applyAlignment="1">
      <alignment horizontal="center" vertical="center" wrapText="1"/>
    </xf>
    <xf numFmtId="43" fontId="19" fillId="36" borderId="9" xfId="49" applyNumberFormat="1" applyFont="1" applyFill="1" applyBorder="1" applyAlignment="1">
      <alignment horizontal="center" vertical="center"/>
    </xf>
    <xf numFmtId="0" fontId="20" fillId="36" borderId="0" xfId="0" applyFont="1" applyFill="1" applyAlignment="1">
      <alignment vertical="center"/>
    </xf>
    <xf numFmtId="0" fontId="20" fillId="36" borderId="36" xfId="0" applyFont="1" applyFill="1" applyBorder="1" applyAlignment="1">
      <alignment vertical="center"/>
    </xf>
    <xf numFmtId="0" fontId="20" fillId="36" borderId="0" xfId="0" applyFont="1" applyFill="1" applyBorder="1" applyAlignment="1">
      <alignment vertical="center"/>
    </xf>
    <xf numFmtId="0" fontId="20" fillId="36" borderId="0" xfId="0" applyFont="1" applyFill="1" applyBorder="1" applyAlignment="1">
      <alignment horizontal="center" vertical="center"/>
    </xf>
    <xf numFmtId="43" fontId="19" fillId="0" borderId="0" xfId="0" applyNumberFormat="1" applyFont="1" applyFill="1" applyAlignment="1">
      <alignment horizontal="center" vertical="center"/>
    </xf>
    <xf numFmtId="207" fontId="19" fillId="0" borderId="0" xfId="0" applyNumberFormat="1" applyFont="1" applyFill="1" applyAlignment="1">
      <alignment vertical="center"/>
    </xf>
    <xf numFmtId="43" fontId="19" fillId="0" borderId="0" xfId="51" applyFont="1" applyFill="1" applyAlignment="1">
      <alignment horizontal="center" vertical="center" shrinkToFit="1"/>
    </xf>
    <xf numFmtId="43" fontId="20" fillId="0" borderId="0" xfId="51" applyFont="1" applyFill="1" applyAlignment="1">
      <alignment vertical="center"/>
    </xf>
    <xf numFmtId="207" fontId="19" fillId="0" borderId="0" xfId="0" applyNumberFormat="1" applyFont="1" applyFill="1" applyAlignment="1">
      <alignment vertical="center" wrapText="1"/>
    </xf>
    <xf numFmtId="43" fontId="20" fillId="0" borderId="0" xfId="51" applyFont="1" applyFill="1" applyAlignment="1">
      <alignment vertical="center" shrinkToFit="1"/>
    </xf>
    <xf numFmtId="43" fontId="19" fillId="0" borderId="0" xfId="0" applyNumberFormat="1" applyFont="1" applyFill="1" applyAlignment="1">
      <alignment vertical="center"/>
    </xf>
    <xf numFmtId="43" fontId="19" fillId="36" borderId="9" xfId="49" applyFont="1" applyFill="1" applyBorder="1" applyAlignment="1">
      <alignment horizontal="center" vertical="center" wrapText="1"/>
    </xf>
    <xf numFmtId="43" fontId="19" fillId="36" borderId="9" xfId="49" applyFont="1" applyFill="1" applyBorder="1" applyAlignment="1">
      <alignment horizontal="center" vertical="center"/>
    </xf>
    <xf numFmtId="175" fontId="19" fillId="36" borderId="9" xfId="49" applyNumberFormat="1" applyFont="1" applyFill="1" applyBorder="1" applyAlignment="1">
      <alignment horizontal="left" vertical="center"/>
    </xf>
    <xf numFmtId="0" fontId="58" fillId="36" borderId="0" xfId="0" applyFont="1" applyFill="1" applyAlignment="1">
      <alignment horizontal="right" vertical="center"/>
    </xf>
    <xf numFmtId="0" fontId="58" fillId="36" borderId="0" xfId="0" applyFont="1" applyFill="1" applyAlignment="1">
      <alignment horizontal="left" vertical="center"/>
    </xf>
    <xf numFmtId="199" fontId="19" fillId="36" borderId="9" xfId="49" applyNumberFormat="1" applyFont="1" applyFill="1" applyBorder="1" applyAlignment="1">
      <alignment horizontal="left" vertical="center"/>
    </xf>
    <xf numFmtId="199" fontId="19" fillId="36" borderId="9" xfId="49" applyNumberFormat="1" applyFont="1" applyFill="1" applyBorder="1" applyAlignment="1">
      <alignment horizontal="center" vertical="center"/>
    </xf>
    <xf numFmtId="43" fontId="19" fillId="36" borderId="9" xfId="49" applyNumberFormat="1" applyFont="1" applyFill="1" applyBorder="1" applyAlignment="1">
      <alignment horizontal="left" vertical="center"/>
    </xf>
    <xf numFmtId="0" fontId="19" fillId="36" borderId="9" xfId="0" applyFont="1" applyFill="1" applyBorder="1" applyAlignment="1">
      <alignment horizontal="center" vertical="top"/>
    </xf>
    <xf numFmtId="0" fontId="19" fillId="36" borderId="9" xfId="0" applyFont="1" applyFill="1" applyBorder="1" applyAlignment="1" quotePrefix="1">
      <alignment horizontal="left" vertical="center" wrapText="1"/>
    </xf>
    <xf numFmtId="0" fontId="20" fillId="36" borderId="0" xfId="0" applyFont="1" applyFill="1" applyAlignment="1">
      <alignment horizontal="right" vertical="center"/>
    </xf>
    <xf numFmtId="0" fontId="20" fillId="36" borderId="0" xfId="0" applyFont="1" applyFill="1" applyAlignment="1">
      <alignment horizontal="left" vertical="center"/>
    </xf>
    <xf numFmtId="40" fontId="19" fillId="0" borderId="9" xfId="0" applyNumberFormat="1" applyFont="1" applyBorder="1" applyAlignment="1">
      <alignment horizontal="center"/>
    </xf>
    <xf numFmtId="0" fontId="72" fillId="38" borderId="35" xfId="0" applyFont="1" applyFill="1" applyBorder="1" applyAlignment="1">
      <alignment vertical="center"/>
    </xf>
    <xf numFmtId="0" fontId="19" fillId="0" borderId="0" xfId="0" applyFont="1" applyAlignment="1">
      <alignment/>
    </xf>
    <xf numFmtId="0" fontId="19" fillId="0" borderId="9" xfId="0" applyFont="1" applyBorder="1" applyAlignment="1">
      <alignment/>
    </xf>
    <xf numFmtId="0" fontId="15" fillId="0" borderId="9" xfId="0" applyFont="1" applyBorder="1" applyAlignment="1">
      <alignment/>
    </xf>
    <xf numFmtId="43" fontId="15" fillId="0" borderId="9" xfId="0" applyNumberFormat="1" applyFont="1" applyBorder="1" applyAlignment="1">
      <alignment/>
    </xf>
    <xf numFmtId="43" fontId="19" fillId="0" borderId="9" xfId="49" applyNumberFormat="1" applyFont="1" applyBorder="1" applyAlignment="1">
      <alignment/>
    </xf>
    <xf numFmtId="43" fontId="19" fillId="36" borderId="9" xfId="49" applyNumberFormat="1" applyFont="1" applyFill="1" applyBorder="1" applyAlignment="1">
      <alignment/>
    </xf>
    <xf numFmtId="40" fontId="19" fillId="0" borderId="9" xfId="0" applyNumberFormat="1" applyFont="1" applyBorder="1" applyAlignment="1">
      <alignment/>
    </xf>
    <xf numFmtId="178" fontId="19" fillId="0" borderId="9" xfId="49" applyNumberFormat="1" applyFont="1" applyBorder="1" applyAlignment="1">
      <alignment/>
    </xf>
    <xf numFmtId="178" fontId="15" fillId="0" borderId="9" xfId="49" applyNumberFormat="1" applyFont="1" applyBorder="1" applyAlignment="1">
      <alignment/>
    </xf>
    <xf numFmtId="43" fontId="19" fillId="36" borderId="9" xfId="0" applyNumberFormat="1" applyFont="1" applyFill="1" applyBorder="1" applyAlignment="1">
      <alignment/>
    </xf>
    <xf numFmtId="199" fontId="19" fillId="36" borderId="9" xfId="49" applyNumberFormat="1" applyFont="1" applyFill="1" applyBorder="1" applyAlignment="1">
      <alignment/>
    </xf>
    <xf numFmtId="179" fontId="19" fillId="36" borderId="9" xfId="0" applyNumberFormat="1" applyFont="1" applyFill="1" applyBorder="1" applyAlignment="1">
      <alignment/>
    </xf>
    <xf numFmtId="43" fontId="15" fillId="0" borderId="9" xfId="49" applyNumberFormat="1" applyFont="1" applyBorder="1" applyAlignment="1">
      <alignment/>
    </xf>
    <xf numFmtId="43" fontId="19" fillId="0" borderId="9" xfId="0" applyNumberFormat="1" applyFont="1" applyBorder="1" applyAlignment="1">
      <alignment/>
    </xf>
    <xf numFmtId="178" fontId="19" fillId="36" borderId="9" xfId="49" applyNumberFormat="1" applyFont="1" applyFill="1" applyBorder="1" applyAlignment="1">
      <alignment/>
    </xf>
    <xf numFmtId="43" fontId="19" fillId="36" borderId="9" xfId="49" applyFont="1" applyFill="1" applyBorder="1" applyAlignment="1">
      <alignment/>
    </xf>
    <xf numFmtId="2" fontId="19" fillId="36" borderId="9" xfId="0" applyNumberFormat="1" applyFont="1" applyFill="1" applyBorder="1" applyAlignment="1">
      <alignment/>
    </xf>
    <xf numFmtId="1" fontId="19" fillId="0" borderId="9" xfId="0" applyNumberFormat="1" applyFont="1" applyBorder="1" applyAlignment="1">
      <alignment/>
    </xf>
    <xf numFmtId="174" fontId="19" fillId="0" borderId="9" xfId="0" applyNumberFormat="1" applyFont="1" applyBorder="1" applyAlignment="1">
      <alignment/>
    </xf>
    <xf numFmtId="0" fontId="15" fillId="36" borderId="9" xfId="0" applyFont="1" applyFill="1" applyBorder="1" applyAlignment="1">
      <alignment/>
    </xf>
    <xf numFmtId="177" fontId="19" fillId="36" borderId="9" xfId="0" applyNumberFormat="1" applyFont="1" applyFill="1" applyBorder="1" applyAlignment="1">
      <alignment/>
    </xf>
    <xf numFmtId="0" fontId="175" fillId="37" borderId="9" xfId="0" applyFont="1" applyFill="1" applyBorder="1" applyAlignment="1">
      <alignment/>
    </xf>
    <xf numFmtId="0" fontId="19" fillId="36" borderId="9" xfId="0" applyFont="1" applyFill="1" applyBorder="1" applyAlignment="1">
      <alignment/>
    </xf>
    <xf numFmtId="174" fontId="19" fillId="36" borderId="9" xfId="49" applyNumberFormat="1" applyFont="1" applyFill="1" applyBorder="1" applyAlignment="1">
      <alignment/>
    </xf>
    <xf numFmtId="178" fontId="19" fillId="37" borderId="9" xfId="49" applyNumberFormat="1" applyFont="1" applyFill="1" applyBorder="1" applyAlignment="1">
      <alignment/>
    </xf>
    <xf numFmtId="178" fontId="15" fillId="36" borderId="9" xfId="49" applyNumberFormat="1" applyFont="1" applyFill="1" applyBorder="1" applyAlignment="1">
      <alignment/>
    </xf>
    <xf numFmtId="0" fontId="58" fillId="36" borderId="9" xfId="0" applyFont="1" applyFill="1" applyBorder="1" applyAlignment="1">
      <alignment/>
    </xf>
    <xf numFmtId="49" fontId="20" fillId="36" borderId="9" xfId="0" applyNumberFormat="1" applyFont="1" applyFill="1" applyBorder="1" applyAlignment="1">
      <alignment wrapText="1" shrinkToFit="1"/>
    </xf>
    <xf numFmtId="0" fontId="42" fillId="36" borderId="9" xfId="0" applyFont="1" applyFill="1" applyBorder="1" applyAlignment="1">
      <alignment horizontal="center" shrinkToFit="1"/>
    </xf>
    <xf numFmtId="208" fontId="68" fillId="36" borderId="9" xfId="0" applyNumberFormat="1" applyFont="1" applyFill="1" applyBorder="1" applyAlignment="1">
      <alignment horizontal="center" vertical="center" wrapText="1"/>
    </xf>
    <xf numFmtId="49" fontId="8" fillId="36" borderId="9" xfId="0" applyNumberFormat="1" applyFont="1" applyFill="1" applyBorder="1" applyAlignment="1">
      <alignment wrapText="1" shrinkToFit="1"/>
    </xf>
    <xf numFmtId="199" fontId="68" fillId="36" borderId="9" xfId="49" applyNumberFormat="1" applyFont="1" applyFill="1" applyBorder="1" applyAlignment="1">
      <alignment horizontal="center" vertical="center" wrapText="1"/>
    </xf>
    <xf numFmtId="201" fontId="68" fillId="36" borderId="9" xfId="0" applyNumberFormat="1" applyFont="1" applyFill="1" applyBorder="1" applyAlignment="1">
      <alignment horizontal="center" vertical="center" wrapText="1"/>
    </xf>
    <xf numFmtId="178" fontId="19" fillId="36" borderId="9" xfId="0" applyNumberFormat="1" applyFont="1" applyFill="1" applyBorder="1" applyAlignment="1">
      <alignment/>
    </xf>
    <xf numFmtId="178" fontId="19" fillId="36" borderId="0" xfId="0" applyNumberFormat="1" applyFont="1" applyFill="1" applyAlignment="1">
      <alignment/>
    </xf>
    <xf numFmtId="0" fontId="68" fillId="36" borderId="0" xfId="0" applyFont="1" applyFill="1" applyAlignment="1">
      <alignment/>
    </xf>
    <xf numFmtId="178" fontId="94" fillId="36" borderId="9" xfId="51" applyNumberFormat="1" applyFont="1" applyFill="1" applyBorder="1" applyAlignment="1">
      <alignment horizontal="left"/>
    </xf>
    <xf numFmtId="174" fontId="95" fillId="36" borderId="9" xfId="51" applyNumberFormat="1" applyFont="1" applyFill="1" applyBorder="1" applyAlignment="1">
      <alignment/>
    </xf>
    <xf numFmtId="174" fontId="95" fillId="36" borderId="9" xfId="51" applyNumberFormat="1" applyFont="1" applyFill="1" applyBorder="1" applyAlignment="1">
      <alignment horizontal="left" shrinkToFit="1"/>
    </xf>
    <xf numFmtId="49" fontId="68" fillId="0" borderId="9" xfId="0" applyNumberFormat="1" applyFont="1" applyFill="1" applyBorder="1" applyAlignment="1">
      <alignment wrapText="1" shrinkToFit="1"/>
    </xf>
    <xf numFmtId="0" fontId="68" fillId="0" borderId="9" xfId="0" applyFont="1" applyFill="1" applyBorder="1" applyAlignment="1">
      <alignment horizontal="center" shrinkToFit="1"/>
    </xf>
    <xf numFmtId="0" fontId="40" fillId="36" borderId="9" xfId="0" applyFont="1" applyFill="1" applyBorder="1" applyAlignment="1">
      <alignment horizontal="center" shrinkToFit="1"/>
    </xf>
    <xf numFmtId="2" fontId="19" fillId="36" borderId="9" xfId="0" applyNumberFormat="1" applyFont="1" applyFill="1" applyBorder="1" applyAlignment="1">
      <alignment/>
    </xf>
    <xf numFmtId="49" fontId="6" fillId="36" borderId="9" xfId="0" applyNumberFormat="1" applyFont="1" applyFill="1" applyBorder="1" applyAlignment="1">
      <alignment wrapText="1" shrinkToFit="1"/>
    </xf>
    <xf numFmtId="201" fontId="63" fillId="36" borderId="9" xfId="0" applyNumberFormat="1" applyFont="1" applyFill="1" applyBorder="1" applyAlignment="1">
      <alignment horizontal="center" vertical="center" wrapText="1"/>
    </xf>
    <xf numFmtId="209" fontId="6" fillId="36" borderId="0" xfId="0" applyNumberFormat="1" applyFont="1" applyFill="1" applyAlignment="1">
      <alignment/>
    </xf>
    <xf numFmtId="49" fontId="90" fillId="36" borderId="9" xfId="0" applyNumberFormat="1" applyFont="1" applyFill="1" applyBorder="1" applyAlignment="1">
      <alignment wrapText="1" shrinkToFit="1"/>
    </xf>
    <xf numFmtId="179" fontId="90" fillId="36" borderId="0" xfId="0" applyNumberFormat="1" applyFont="1" applyFill="1" applyAlignment="1">
      <alignment/>
    </xf>
    <xf numFmtId="0" fontId="90" fillId="36" borderId="0" xfId="0" applyFont="1" applyFill="1" applyAlignment="1">
      <alignment/>
    </xf>
    <xf numFmtId="208" fontId="63" fillId="36" borderId="9" xfId="0" applyNumberFormat="1" applyFont="1" applyFill="1" applyBorder="1" applyAlignment="1">
      <alignment horizontal="center" vertical="center" wrapText="1"/>
    </xf>
    <xf numFmtId="208" fontId="63" fillId="36" borderId="9" xfId="0" applyNumberFormat="1" applyFont="1" applyFill="1" applyBorder="1" applyAlignment="1">
      <alignment horizontal="center" vertical="center" wrapText="1"/>
    </xf>
    <xf numFmtId="203" fontId="8" fillId="36" borderId="0" xfId="0" applyNumberFormat="1" applyFont="1" applyFill="1" applyAlignment="1">
      <alignment/>
    </xf>
    <xf numFmtId="49" fontId="8" fillId="36" borderId="9" xfId="0" applyNumberFormat="1" applyFont="1" applyFill="1" applyBorder="1" applyAlignment="1">
      <alignment shrinkToFit="1"/>
    </xf>
    <xf numFmtId="204" fontId="68" fillId="36" borderId="9" xfId="49" applyNumberFormat="1" applyFont="1" applyFill="1" applyBorder="1" applyAlignment="1">
      <alignment horizontal="center" vertical="center" wrapText="1"/>
    </xf>
    <xf numFmtId="0" fontId="91" fillId="36" borderId="0" xfId="0" applyFont="1" applyFill="1" applyAlignment="1">
      <alignment/>
    </xf>
    <xf numFmtId="49" fontId="20" fillId="36" borderId="9" xfId="0" applyNumberFormat="1" applyFont="1" applyFill="1" applyBorder="1" applyAlignment="1">
      <alignment wrapText="1" shrinkToFit="1"/>
    </xf>
    <xf numFmtId="0" fontId="18" fillId="36" borderId="9" xfId="0" applyFont="1" applyFill="1" applyBorder="1" applyAlignment="1">
      <alignment horizontal="center" shrinkToFit="1"/>
    </xf>
    <xf numFmtId="0" fontId="20" fillId="36" borderId="0" xfId="0" applyFont="1" applyFill="1" applyAlignment="1">
      <alignment/>
    </xf>
    <xf numFmtId="43" fontId="20" fillId="36" borderId="0" xfId="49" applyFont="1" applyFill="1" applyAlignment="1">
      <alignment/>
    </xf>
    <xf numFmtId="49" fontId="13" fillId="36" borderId="9" xfId="0" applyNumberFormat="1" applyFont="1" applyFill="1" applyBorder="1" applyAlignment="1">
      <alignment wrapText="1" shrinkToFit="1"/>
    </xf>
    <xf numFmtId="0" fontId="28" fillId="36" borderId="9" xfId="0" applyFont="1" applyFill="1" applyBorder="1" applyAlignment="1">
      <alignment horizontal="center" shrinkToFit="1"/>
    </xf>
    <xf numFmtId="40" fontId="102" fillId="36" borderId="9" xfId="0" applyNumberFormat="1" applyFont="1" applyFill="1" applyBorder="1" applyAlignment="1">
      <alignment horizontal="center" vertical="center" wrapText="1"/>
    </xf>
    <xf numFmtId="0" fontId="13" fillId="36" borderId="0" xfId="0" applyFont="1" applyFill="1" applyAlignment="1">
      <alignment/>
    </xf>
    <xf numFmtId="49" fontId="1" fillId="36" borderId="9" xfId="0" applyNumberFormat="1" applyFont="1" applyFill="1" applyBorder="1" applyAlignment="1">
      <alignment wrapText="1" shrinkToFit="1"/>
    </xf>
    <xf numFmtId="0" fontId="103" fillId="36" borderId="9" xfId="0" applyFont="1" applyFill="1" applyBorder="1" applyAlignment="1">
      <alignment horizontal="center" shrinkToFit="1"/>
    </xf>
    <xf numFmtId="0" fontId="1" fillId="36" borderId="0" xfId="0" applyFont="1" applyFill="1" applyAlignment="1">
      <alignment/>
    </xf>
    <xf numFmtId="49" fontId="1" fillId="36" borderId="9" xfId="0" applyNumberFormat="1" applyFont="1" applyFill="1" applyBorder="1" applyAlignment="1">
      <alignment shrinkToFit="1"/>
    </xf>
    <xf numFmtId="40" fontId="19" fillId="0" borderId="9" xfId="0" applyNumberFormat="1" applyFont="1" applyFill="1" applyBorder="1" applyAlignment="1">
      <alignment horizontal="center" vertical="center" wrapText="1"/>
    </xf>
    <xf numFmtId="10" fontId="0" fillId="0" borderId="0" xfId="100" applyNumberFormat="1" applyFont="1" applyAlignment="1">
      <alignment/>
    </xf>
    <xf numFmtId="43" fontId="58" fillId="0" borderId="0" xfId="0" applyNumberFormat="1" applyFont="1" applyFill="1" applyAlignment="1">
      <alignment vertical="center" wrapText="1"/>
    </xf>
    <xf numFmtId="0" fontId="70" fillId="36" borderId="9" xfId="0" applyFont="1" applyFill="1" applyBorder="1" applyAlignment="1">
      <alignment wrapText="1"/>
    </xf>
    <xf numFmtId="0" fontId="70" fillId="36" borderId="9" xfId="0" applyFont="1" applyFill="1" applyBorder="1" applyAlignment="1">
      <alignment horizontal="center"/>
    </xf>
    <xf numFmtId="43" fontId="70" fillId="36" borderId="9" xfId="49" applyNumberFormat="1" applyFont="1" applyFill="1" applyBorder="1" applyAlignment="1">
      <alignment horizontal="center"/>
    </xf>
    <xf numFmtId="43" fontId="70" fillId="36" borderId="9" xfId="49" applyNumberFormat="1" applyFont="1" applyFill="1" applyBorder="1" applyAlignment="1">
      <alignment/>
    </xf>
    <xf numFmtId="0" fontId="70" fillId="36" borderId="9" xfId="0" applyFont="1" applyFill="1" applyBorder="1" applyAlignment="1">
      <alignment/>
    </xf>
    <xf numFmtId="0" fontId="70" fillId="36" borderId="0" xfId="0" applyFont="1" applyFill="1" applyAlignment="1">
      <alignment/>
    </xf>
    <xf numFmtId="2" fontId="19" fillId="36" borderId="9" xfId="0" applyNumberFormat="1" applyFont="1" applyFill="1" applyBorder="1" applyAlignment="1">
      <alignment horizontal="right"/>
    </xf>
    <xf numFmtId="4" fontId="19" fillId="36" borderId="9" xfId="0" applyNumberFormat="1" applyFont="1" applyFill="1" applyBorder="1" applyAlignment="1">
      <alignment horizontal="center"/>
    </xf>
    <xf numFmtId="3" fontId="19" fillId="36" borderId="9" xfId="49" applyNumberFormat="1" applyFont="1" applyFill="1" applyBorder="1" applyAlignment="1">
      <alignment horizontal="center" vertical="center"/>
    </xf>
    <xf numFmtId="178" fontId="70" fillId="0" borderId="9" xfId="49" applyNumberFormat="1" applyFont="1" applyFill="1" applyBorder="1" applyAlignment="1">
      <alignment horizontal="center" vertical="center" wrapText="1"/>
    </xf>
    <xf numFmtId="0" fontId="70" fillId="0" borderId="24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vertical="center" wrapText="1"/>
    </xf>
    <xf numFmtId="43" fontId="19" fillId="0" borderId="9" xfId="0" applyNumberFormat="1" applyFont="1" applyFill="1" applyBorder="1" applyAlignment="1">
      <alignment horizontal="center" vertical="center" wrapText="1"/>
    </xf>
    <xf numFmtId="206" fontId="19" fillId="36" borderId="9" xfId="0" applyNumberFormat="1" applyFont="1" applyFill="1" applyBorder="1" applyAlignment="1">
      <alignment horizontal="right"/>
    </xf>
    <xf numFmtId="0" fontId="175" fillId="36" borderId="9" xfId="0" applyFont="1" applyFill="1" applyBorder="1" applyAlignment="1">
      <alignment horizontal="center"/>
    </xf>
    <xf numFmtId="0" fontId="179" fillId="36" borderId="9" xfId="0" applyFont="1" applyFill="1" applyBorder="1" applyAlignment="1">
      <alignment wrapText="1"/>
    </xf>
    <xf numFmtId="43" fontId="19" fillId="36" borderId="0" xfId="0" applyNumberFormat="1" applyFont="1" applyFill="1" applyAlignment="1">
      <alignment/>
    </xf>
    <xf numFmtId="40" fontId="8" fillId="36" borderId="0" xfId="0" applyNumberFormat="1" applyFont="1" applyFill="1" applyAlignment="1">
      <alignment/>
    </xf>
    <xf numFmtId="43" fontId="19" fillId="0" borderId="0" xfId="100" applyNumberFormat="1" applyFont="1" applyAlignment="1">
      <alignment/>
    </xf>
    <xf numFmtId="43" fontId="15" fillId="0" borderId="0" xfId="0" applyNumberFormat="1" applyFont="1" applyAlignment="1">
      <alignment/>
    </xf>
    <xf numFmtId="0" fontId="15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43" fontId="15" fillId="0" borderId="0" xfId="49" applyNumberFormat="1" applyFont="1" applyBorder="1" applyAlignment="1">
      <alignment/>
    </xf>
    <xf numFmtId="43" fontId="19" fillId="0" borderId="0" xfId="49" applyNumberFormat="1" applyFont="1" applyBorder="1" applyAlignment="1">
      <alignment/>
    </xf>
    <xf numFmtId="43" fontId="19" fillId="36" borderId="0" xfId="49" applyNumberFormat="1" applyFont="1" applyFill="1" applyBorder="1" applyAlignment="1">
      <alignment/>
    </xf>
    <xf numFmtId="178" fontId="15" fillId="0" borderId="0" xfId="49" applyNumberFormat="1" applyFont="1" applyBorder="1" applyAlignment="1">
      <alignment/>
    </xf>
    <xf numFmtId="43" fontId="176" fillId="0" borderId="0" xfId="49" applyNumberFormat="1" applyFont="1" applyBorder="1" applyAlignment="1">
      <alignment/>
    </xf>
    <xf numFmtId="43" fontId="15" fillId="36" borderId="0" xfId="49" applyNumberFormat="1" applyFont="1" applyFill="1" applyBorder="1" applyAlignment="1">
      <alignment/>
    </xf>
    <xf numFmtId="199" fontId="15" fillId="0" borderId="0" xfId="49" applyNumberFormat="1" applyFont="1" applyBorder="1" applyAlignment="1">
      <alignment/>
    </xf>
    <xf numFmtId="9" fontId="19" fillId="0" borderId="0" xfId="49" applyNumberFormat="1" applyFont="1" applyBorder="1" applyAlignment="1">
      <alignment/>
    </xf>
    <xf numFmtId="43" fontId="19" fillId="36" borderId="0" xfId="0" applyNumberFormat="1" applyFont="1" applyFill="1" applyBorder="1" applyAlignment="1">
      <alignment horizontal="center"/>
    </xf>
    <xf numFmtId="0" fontId="19" fillId="36" borderId="0" xfId="0" applyFont="1" applyFill="1" applyBorder="1" applyAlignment="1">
      <alignment/>
    </xf>
    <xf numFmtId="0" fontId="70" fillId="36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0" fontId="15" fillId="36" borderId="0" xfId="0" applyFont="1" applyFill="1" applyBorder="1" applyAlignment="1">
      <alignment/>
    </xf>
    <xf numFmtId="0" fontId="175" fillId="37" borderId="0" xfId="0" applyFont="1" applyFill="1" applyBorder="1" applyAlignment="1">
      <alignment/>
    </xf>
    <xf numFmtId="2" fontId="19" fillId="36" borderId="0" xfId="0" applyNumberFormat="1" applyFont="1" applyFill="1" applyBorder="1" applyAlignment="1">
      <alignment/>
    </xf>
    <xf numFmtId="178" fontId="19" fillId="36" borderId="0" xfId="49" applyNumberFormat="1" applyFont="1" applyFill="1" applyBorder="1" applyAlignment="1">
      <alignment/>
    </xf>
    <xf numFmtId="178" fontId="19" fillId="37" borderId="0" xfId="49" applyNumberFormat="1" applyFont="1" applyFill="1" applyBorder="1" applyAlignment="1">
      <alignment/>
    </xf>
    <xf numFmtId="178" fontId="15" fillId="36" borderId="0" xfId="49" applyNumberFormat="1" applyFont="1" applyFill="1" applyBorder="1" applyAlignment="1">
      <alignment/>
    </xf>
    <xf numFmtId="0" fontId="58" fillId="36" borderId="0" xfId="0" applyFont="1" applyFill="1" applyBorder="1" applyAlignment="1">
      <alignment horizontal="right"/>
    </xf>
    <xf numFmtId="43" fontId="19" fillId="36" borderId="0" xfId="49" applyNumberFormat="1" applyFont="1" applyFill="1" applyBorder="1" applyAlignment="1">
      <alignment shrinkToFit="1"/>
    </xf>
    <xf numFmtId="175" fontId="19" fillId="0" borderId="9" xfId="51" applyNumberFormat="1" applyFont="1" applyFill="1" applyBorder="1" applyAlignment="1">
      <alignment horizontal="center" vertical="center"/>
    </xf>
    <xf numFmtId="0" fontId="172" fillId="36" borderId="9" xfId="0" applyFont="1" applyFill="1" applyBorder="1" applyAlignment="1">
      <alignment horizontal="center" vertical="center"/>
    </xf>
    <xf numFmtId="49" fontId="172" fillId="36" borderId="9" xfId="0" applyNumberFormat="1" applyFont="1" applyFill="1" applyBorder="1" applyAlignment="1">
      <alignment horizontal="justify" vertical="justify" wrapText="1" shrinkToFit="1"/>
    </xf>
    <xf numFmtId="178" fontId="19" fillId="36" borderId="9" xfId="49" applyNumberFormat="1" applyFont="1" applyFill="1" applyBorder="1" applyAlignment="1">
      <alignment horizontal="center" vertical="center"/>
    </xf>
    <xf numFmtId="43" fontId="58" fillId="36" borderId="0" xfId="0" applyNumberFormat="1" applyFont="1" applyFill="1" applyAlignment="1">
      <alignment vertical="center" wrapText="1"/>
    </xf>
    <xf numFmtId="43" fontId="60" fillId="36" borderId="0" xfId="0" applyNumberFormat="1" applyFont="1" applyFill="1" applyAlignment="1">
      <alignment vertical="center" wrapText="1"/>
    </xf>
    <xf numFmtId="43" fontId="60" fillId="36" borderId="0" xfId="49" applyNumberFormat="1" applyFont="1" applyFill="1" applyAlignment="1">
      <alignment vertical="center" wrapText="1"/>
    </xf>
    <xf numFmtId="43" fontId="58" fillId="36" borderId="0" xfId="49" applyNumberFormat="1" applyFont="1" applyFill="1" applyAlignment="1">
      <alignment vertical="center" wrapText="1"/>
    </xf>
    <xf numFmtId="2" fontId="90" fillId="0" borderId="0" xfId="0" applyNumberFormat="1" applyFont="1" applyFill="1" applyAlignment="1">
      <alignment/>
    </xf>
    <xf numFmtId="199" fontId="19" fillId="36" borderId="9" xfId="49" applyNumberFormat="1" applyFont="1" applyFill="1" applyBorder="1" applyAlignment="1">
      <alignment/>
    </xf>
    <xf numFmtId="199" fontId="19" fillId="36" borderId="0" xfId="49" applyNumberFormat="1" applyFont="1" applyFill="1" applyBorder="1" applyAlignment="1">
      <alignment/>
    </xf>
    <xf numFmtId="43" fontId="175" fillId="0" borderId="0" xfId="49" applyNumberFormat="1" applyFont="1" applyBorder="1" applyAlignment="1">
      <alignment/>
    </xf>
    <xf numFmtId="43" fontId="15" fillId="36" borderId="9" xfId="0" applyNumberFormat="1" applyFont="1" applyFill="1" applyBorder="1" applyAlignment="1">
      <alignment horizontal="center"/>
    </xf>
    <xf numFmtId="1" fontId="15" fillId="36" borderId="9" xfId="0" applyNumberFormat="1" applyFont="1" applyFill="1" applyBorder="1" applyAlignment="1">
      <alignment horizontal="center"/>
    </xf>
    <xf numFmtId="199" fontId="15" fillId="0" borderId="9" xfId="49" applyNumberFormat="1" applyFont="1" applyBorder="1" applyAlignment="1">
      <alignment/>
    </xf>
    <xf numFmtId="43" fontId="15" fillId="36" borderId="9" xfId="0" applyNumberFormat="1" applyFont="1" applyFill="1" applyBorder="1" applyAlignment="1">
      <alignment/>
    </xf>
    <xf numFmtId="0" fontId="175" fillId="0" borderId="9" xfId="0" applyFont="1" applyBorder="1" applyAlignment="1">
      <alignment horizontal="center"/>
    </xf>
    <xf numFmtId="0" fontId="175" fillId="0" borderId="9" xfId="0" applyFont="1" applyBorder="1" applyAlignment="1">
      <alignment/>
    </xf>
    <xf numFmtId="178" fontId="175" fillId="0" borderId="9" xfId="0" applyNumberFormat="1" applyFont="1" applyBorder="1" applyAlignment="1">
      <alignment horizontal="center"/>
    </xf>
    <xf numFmtId="178" fontId="175" fillId="0" borderId="9" xfId="49" applyNumberFormat="1" applyFont="1" applyBorder="1" applyAlignment="1">
      <alignment/>
    </xf>
    <xf numFmtId="0" fontId="175" fillId="0" borderId="0" xfId="0" applyFont="1" applyAlignment="1">
      <alignment/>
    </xf>
    <xf numFmtId="0" fontId="175" fillId="0" borderId="0" xfId="0" applyFont="1" applyFill="1" applyAlignment="1">
      <alignment/>
    </xf>
    <xf numFmtId="177" fontId="19" fillId="0" borderId="9" xfId="0" applyNumberFormat="1" applyFont="1" applyBorder="1" applyAlignment="1">
      <alignment horizontal="center"/>
    </xf>
    <xf numFmtId="40" fontId="68" fillId="36" borderId="9" xfId="0" applyNumberFormat="1" applyFont="1" applyFill="1" applyBorder="1" applyAlignment="1">
      <alignment horizontal="center" vertical="center" wrapText="1"/>
    </xf>
    <xf numFmtId="0" fontId="175" fillId="0" borderId="0" xfId="0" applyFont="1" applyFill="1" applyAlignment="1">
      <alignment vertical="center"/>
    </xf>
    <xf numFmtId="175" fontId="175" fillId="36" borderId="9" xfId="49" applyNumberFormat="1" applyFont="1" applyFill="1" applyBorder="1" applyAlignment="1">
      <alignment horizontal="center" vertical="center"/>
    </xf>
    <xf numFmtId="205" fontId="19" fillId="0" borderId="0" xfId="0" applyNumberFormat="1" applyFont="1" applyFill="1" applyAlignment="1">
      <alignment horizontal="left" vertical="center"/>
    </xf>
    <xf numFmtId="205" fontId="19" fillId="0" borderId="0" xfId="0" applyNumberFormat="1" applyFont="1" applyFill="1" applyAlignment="1">
      <alignment horizontal="center" vertical="center"/>
    </xf>
    <xf numFmtId="205" fontId="19" fillId="0" borderId="0" xfId="0" applyNumberFormat="1" applyFont="1" applyFill="1" applyAlignment="1">
      <alignment vertical="center"/>
    </xf>
    <xf numFmtId="174" fontId="18" fillId="0" borderId="9" xfId="49" applyNumberFormat="1" applyFont="1" applyBorder="1" applyAlignment="1">
      <alignment shrinkToFit="1"/>
    </xf>
    <xf numFmtId="205" fontId="107" fillId="0" borderId="0" xfId="0" applyNumberFormat="1" applyFont="1" applyAlignment="1">
      <alignment/>
    </xf>
    <xf numFmtId="1" fontId="19" fillId="36" borderId="9" xfId="0" applyNumberFormat="1" applyFont="1" applyFill="1" applyBorder="1" applyAlignment="1">
      <alignment horizontal="right"/>
    </xf>
    <xf numFmtId="174" fontId="19" fillId="36" borderId="9" xfId="0" applyNumberFormat="1" applyFont="1" applyFill="1" applyBorder="1" applyAlignment="1">
      <alignment horizontal="center"/>
    </xf>
    <xf numFmtId="178" fontId="19" fillId="36" borderId="9" xfId="0" applyNumberFormat="1" applyFont="1" applyFill="1" applyBorder="1" applyAlignment="1">
      <alignment horizontal="center"/>
    </xf>
    <xf numFmtId="178" fontId="19" fillId="36" borderId="9" xfId="0" applyNumberFormat="1" applyFont="1" applyFill="1" applyBorder="1" applyAlignment="1">
      <alignment/>
    </xf>
    <xf numFmtId="178" fontId="19" fillId="36" borderId="9" xfId="49" applyNumberFormat="1" applyFont="1" applyFill="1" applyBorder="1" applyAlignment="1">
      <alignment horizontal="center"/>
    </xf>
    <xf numFmtId="40" fontId="8" fillId="0" borderId="0" xfId="0" applyNumberFormat="1" applyFont="1" applyFill="1" applyAlignment="1">
      <alignment/>
    </xf>
    <xf numFmtId="43" fontId="58" fillId="36" borderId="0" xfId="0" applyNumberFormat="1" applyFont="1" applyFill="1" applyAlignment="1">
      <alignment vertical="center"/>
    </xf>
    <xf numFmtId="43" fontId="58" fillId="0" borderId="0" xfId="0" applyNumberFormat="1" applyFont="1" applyFill="1" applyAlignment="1">
      <alignment vertical="center"/>
    </xf>
    <xf numFmtId="174" fontId="19" fillId="0" borderId="0" xfId="0" applyNumberFormat="1" applyFont="1" applyFill="1" applyAlignment="1">
      <alignment horizontal="center" vertical="center"/>
    </xf>
    <xf numFmtId="199" fontId="175" fillId="36" borderId="9" xfId="49" applyNumberFormat="1" applyFont="1" applyFill="1" applyBorder="1" applyAlignment="1">
      <alignment/>
    </xf>
    <xf numFmtId="179" fontId="175" fillId="36" borderId="9" xfId="0" applyNumberFormat="1" applyFont="1" applyFill="1" applyBorder="1" applyAlignment="1">
      <alignment/>
    </xf>
    <xf numFmtId="174" fontId="19" fillId="36" borderId="9" xfId="49" applyNumberFormat="1" applyFont="1" applyFill="1" applyBorder="1" applyAlignment="1">
      <alignment horizontal="right"/>
    </xf>
    <xf numFmtId="178" fontId="19" fillId="0" borderId="9" xfId="0" applyNumberFormat="1" applyFont="1" applyBorder="1" applyAlignment="1">
      <alignment/>
    </xf>
    <xf numFmtId="178" fontId="15" fillId="0" borderId="9" xfId="0" applyNumberFormat="1" applyFont="1" applyBorder="1" applyAlignment="1">
      <alignment/>
    </xf>
    <xf numFmtId="49" fontId="38" fillId="36" borderId="9" xfId="0" applyNumberFormat="1" applyFont="1" applyFill="1" applyBorder="1" applyAlignment="1">
      <alignment horizontal="justify" vertical="justify" shrinkToFit="1"/>
    </xf>
    <xf numFmtId="0" fontId="19" fillId="36" borderId="37" xfId="0" applyFont="1" applyFill="1" applyBorder="1" applyAlignment="1">
      <alignment shrinkToFit="1"/>
    </xf>
    <xf numFmtId="0" fontId="15" fillId="0" borderId="9" xfId="0" applyFont="1" applyBorder="1" applyAlignment="1">
      <alignment horizontal="center" shrinkToFit="1"/>
    </xf>
    <xf numFmtId="43" fontId="15" fillId="0" borderId="9" xfId="0" applyNumberFormat="1" applyFont="1" applyBorder="1" applyAlignment="1">
      <alignment horizontal="center" shrinkToFit="1"/>
    </xf>
    <xf numFmtId="0" fontId="19" fillId="0" borderId="9" xfId="0" applyFont="1" applyBorder="1" applyAlignment="1">
      <alignment horizontal="center" shrinkToFit="1"/>
    </xf>
    <xf numFmtId="43" fontId="19" fillId="0" borderId="9" xfId="49" applyNumberFormat="1" applyFont="1" applyBorder="1" applyAlignment="1">
      <alignment shrinkToFit="1"/>
    </xf>
    <xf numFmtId="0" fontId="19" fillId="36" borderId="9" xfId="0" applyFont="1" applyFill="1" applyBorder="1" applyAlignment="1">
      <alignment horizontal="center" shrinkToFit="1"/>
    </xf>
    <xf numFmtId="43" fontId="19" fillId="0" borderId="9" xfId="0" applyNumberFormat="1" applyFont="1" applyBorder="1" applyAlignment="1">
      <alignment horizontal="center" shrinkToFit="1"/>
    </xf>
    <xf numFmtId="43" fontId="19" fillId="36" borderId="9" xfId="49" applyNumberFormat="1" applyFont="1" applyFill="1" applyBorder="1" applyAlignment="1">
      <alignment shrinkToFit="1"/>
    </xf>
    <xf numFmtId="40" fontId="19" fillId="0" borderId="9" xfId="0" applyNumberFormat="1" applyFont="1" applyBorder="1" applyAlignment="1">
      <alignment horizontal="right" shrinkToFit="1"/>
    </xf>
    <xf numFmtId="178" fontId="19" fillId="0" borderId="9" xfId="49" applyNumberFormat="1" applyFont="1" applyBorder="1" applyAlignment="1">
      <alignment shrinkToFit="1"/>
    </xf>
    <xf numFmtId="178" fontId="15" fillId="0" borderId="9" xfId="49" applyNumberFormat="1" applyFont="1" applyBorder="1" applyAlignment="1">
      <alignment shrinkToFit="1"/>
    </xf>
    <xf numFmtId="43" fontId="19" fillId="36" borderId="9" xfId="0" applyNumberFormat="1" applyFont="1" applyFill="1" applyBorder="1" applyAlignment="1">
      <alignment horizontal="center" shrinkToFit="1"/>
    </xf>
    <xf numFmtId="178" fontId="19" fillId="36" borderId="9" xfId="0" applyNumberFormat="1" applyFont="1" applyFill="1" applyBorder="1" applyAlignment="1">
      <alignment horizontal="center" shrinkToFit="1"/>
    </xf>
    <xf numFmtId="178" fontId="19" fillId="36" borderId="9" xfId="49" applyNumberFormat="1" applyFont="1" applyFill="1" applyBorder="1" applyAlignment="1">
      <alignment shrinkToFit="1"/>
    </xf>
    <xf numFmtId="177" fontId="19" fillId="36" borderId="9" xfId="0" applyNumberFormat="1" applyFont="1" applyFill="1" applyBorder="1" applyAlignment="1">
      <alignment horizontal="right" shrinkToFit="1"/>
    </xf>
    <xf numFmtId="178" fontId="19" fillId="36" borderId="9" xfId="49" applyNumberFormat="1" applyFont="1" applyFill="1" applyBorder="1" applyAlignment="1">
      <alignment horizontal="center" shrinkToFit="1"/>
    </xf>
    <xf numFmtId="0" fontId="15" fillId="36" borderId="9" xfId="0" applyFont="1" applyFill="1" applyBorder="1" applyAlignment="1">
      <alignment horizontal="center" shrinkToFit="1"/>
    </xf>
    <xf numFmtId="43" fontId="15" fillId="0" borderId="9" xfId="49" applyNumberFormat="1" applyFont="1" applyBorder="1" applyAlignment="1">
      <alignment shrinkToFit="1"/>
    </xf>
    <xf numFmtId="43" fontId="19" fillId="0" borderId="9" xfId="0" applyNumberFormat="1" applyFont="1" applyBorder="1" applyAlignment="1">
      <alignment shrinkToFit="1"/>
    </xf>
    <xf numFmtId="43" fontId="19" fillId="36" borderId="9" xfId="49" applyFont="1" applyFill="1" applyBorder="1" applyAlignment="1">
      <alignment shrinkToFit="1"/>
    </xf>
    <xf numFmtId="178" fontId="15" fillId="36" borderId="9" xfId="49" applyNumberFormat="1" applyFont="1" applyFill="1" applyBorder="1" applyAlignment="1">
      <alignment shrinkToFit="1"/>
    </xf>
    <xf numFmtId="177" fontId="19" fillId="0" borderId="9" xfId="0" applyNumberFormat="1" applyFont="1" applyBorder="1" applyAlignment="1">
      <alignment horizontal="center" shrinkToFit="1"/>
    </xf>
    <xf numFmtId="43" fontId="19" fillId="36" borderId="9" xfId="0" applyNumberFormat="1" applyFont="1" applyFill="1" applyBorder="1" applyAlignment="1">
      <alignment shrinkToFit="1"/>
    </xf>
    <xf numFmtId="0" fontId="19" fillId="36" borderId="9" xfId="0" applyFont="1" applyFill="1" applyBorder="1" applyAlignment="1">
      <alignment horizontal="center" vertical="center" shrinkToFit="1"/>
    </xf>
    <xf numFmtId="0" fontId="38" fillId="36" borderId="9" xfId="0" applyFont="1" applyFill="1" applyBorder="1" applyAlignment="1">
      <alignment horizontal="center" shrinkToFit="1"/>
    </xf>
    <xf numFmtId="43" fontId="19" fillId="36" borderId="9" xfId="49" applyFont="1" applyFill="1" applyBorder="1" applyAlignment="1">
      <alignment horizontal="center" shrinkToFit="1"/>
    </xf>
    <xf numFmtId="0" fontId="70" fillId="36" borderId="9" xfId="0" applyFont="1" applyFill="1" applyBorder="1" applyAlignment="1">
      <alignment horizontal="center" shrinkToFit="1"/>
    </xf>
    <xf numFmtId="43" fontId="70" fillId="36" borderId="9" xfId="49" applyNumberFormat="1" applyFont="1" applyFill="1" applyBorder="1" applyAlignment="1">
      <alignment horizontal="center" shrinkToFit="1"/>
    </xf>
    <xf numFmtId="43" fontId="70" fillId="36" borderId="9" xfId="49" applyNumberFormat="1" applyFont="1" applyFill="1" applyBorder="1" applyAlignment="1">
      <alignment shrinkToFit="1"/>
    </xf>
    <xf numFmtId="2" fontId="19" fillId="0" borderId="9" xfId="0" applyNumberFormat="1" applyFont="1" applyBorder="1" applyAlignment="1">
      <alignment horizontal="center" shrinkToFit="1"/>
    </xf>
    <xf numFmtId="0" fontId="19" fillId="37" borderId="9" xfId="0" applyFont="1" applyFill="1" applyBorder="1" applyAlignment="1">
      <alignment horizontal="center" shrinkToFit="1"/>
    </xf>
    <xf numFmtId="178" fontId="19" fillId="37" borderId="9" xfId="49" applyNumberFormat="1" applyFont="1" applyFill="1" applyBorder="1" applyAlignment="1">
      <alignment shrinkToFit="1"/>
    </xf>
    <xf numFmtId="0" fontId="175" fillId="36" borderId="9" xfId="0" applyFont="1" applyFill="1" applyBorder="1" applyAlignment="1">
      <alignment horizontal="center" shrinkToFit="1"/>
    </xf>
    <xf numFmtId="0" fontId="19" fillId="36" borderId="37" xfId="0" applyFont="1" applyFill="1" applyBorder="1" applyAlignment="1">
      <alignment horizontal="center" shrinkToFit="1"/>
    </xf>
    <xf numFmtId="0" fontId="18" fillId="36" borderId="37" xfId="0" applyFont="1" applyFill="1" applyBorder="1" applyAlignment="1">
      <alignment shrinkToFit="1"/>
    </xf>
    <xf numFmtId="174" fontId="19" fillId="0" borderId="9" xfId="0" applyNumberFormat="1" applyFont="1" applyBorder="1" applyAlignment="1">
      <alignment horizontal="center" shrinkToFit="1"/>
    </xf>
    <xf numFmtId="178" fontId="19" fillId="0" borderId="9" xfId="0" applyNumberFormat="1" applyFont="1" applyBorder="1" applyAlignment="1">
      <alignment horizontal="center" shrinkToFit="1"/>
    </xf>
    <xf numFmtId="43" fontId="19" fillId="0" borderId="9" xfId="49" applyFont="1" applyBorder="1" applyAlignment="1">
      <alignment horizontal="center" shrinkToFit="1"/>
    </xf>
    <xf numFmtId="174" fontId="19" fillId="0" borderId="9" xfId="49" applyNumberFormat="1" applyFont="1" applyBorder="1" applyAlignment="1">
      <alignment horizontal="center" shrinkToFit="1"/>
    </xf>
    <xf numFmtId="174" fontId="19" fillId="0" borderId="9" xfId="49" applyNumberFormat="1" applyFont="1" applyBorder="1" applyAlignment="1">
      <alignment shrinkToFit="1"/>
    </xf>
    <xf numFmtId="43" fontId="70" fillId="36" borderId="9" xfId="49" applyFont="1" applyFill="1" applyBorder="1" applyAlignment="1">
      <alignment horizontal="center" shrinkToFit="1"/>
    </xf>
    <xf numFmtId="0" fontId="34" fillId="0" borderId="9" xfId="0" applyFont="1" applyBorder="1" applyAlignment="1">
      <alignment horizontal="center" shrinkToFit="1"/>
    </xf>
    <xf numFmtId="178" fontId="19" fillId="0" borderId="9" xfId="49" applyNumberFormat="1" applyFont="1" applyBorder="1" applyAlignment="1">
      <alignment horizontal="center" shrinkToFit="1"/>
    </xf>
    <xf numFmtId="43" fontId="15" fillId="36" borderId="9" xfId="49" applyNumberFormat="1" applyFont="1" applyFill="1" applyBorder="1" applyAlignment="1">
      <alignment shrinkToFit="1"/>
    </xf>
    <xf numFmtId="1" fontId="19" fillId="36" borderId="9" xfId="0" applyNumberFormat="1" applyFont="1" applyFill="1" applyBorder="1" applyAlignment="1">
      <alignment horizontal="center" shrinkToFit="1"/>
    </xf>
    <xf numFmtId="174" fontId="19" fillId="36" borderId="9" xfId="49" applyNumberFormat="1" applyFont="1" applyFill="1" applyBorder="1" applyAlignment="1">
      <alignment horizontal="center" shrinkToFit="1"/>
    </xf>
    <xf numFmtId="0" fontId="18" fillId="36" borderId="9" xfId="0" applyFont="1" applyFill="1" applyBorder="1" applyAlignment="1">
      <alignment horizontal="center" wrapText="1"/>
    </xf>
    <xf numFmtId="0" fontId="19" fillId="0" borderId="24" xfId="0" applyFont="1" applyBorder="1" applyAlignment="1">
      <alignment horizontal="center"/>
    </xf>
    <xf numFmtId="0" fontId="19" fillId="0" borderId="24" xfId="0" applyFont="1" applyBorder="1" applyAlignment="1">
      <alignment/>
    </xf>
    <xf numFmtId="1" fontId="19" fillId="36" borderId="37" xfId="0" applyNumberFormat="1" applyFont="1" applyFill="1" applyBorder="1" applyAlignment="1">
      <alignment horizontal="center" shrinkToFit="1"/>
    </xf>
    <xf numFmtId="174" fontId="15" fillId="0" borderId="9" xfId="49" applyNumberFormat="1" applyFont="1" applyBorder="1" applyAlignment="1">
      <alignment shrinkToFit="1"/>
    </xf>
    <xf numFmtId="0" fontId="100" fillId="0" borderId="9" xfId="0" applyFont="1" applyFill="1" applyBorder="1" applyAlignment="1">
      <alignment horizontal="center" vertical="center" wrapText="1"/>
    </xf>
    <xf numFmtId="0" fontId="100" fillId="0" borderId="14" xfId="0" applyFont="1" applyBorder="1" applyAlignment="1">
      <alignment horizontal="center" vertical="center"/>
    </xf>
    <xf numFmtId="0" fontId="100" fillId="0" borderId="5" xfId="0" applyFont="1" applyBorder="1" applyAlignment="1">
      <alignment horizontal="center" vertical="center"/>
    </xf>
    <xf numFmtId="0" fontId="100" fillId="0" borderId="0" xfId="0" applyFont="1" applyAlignment="1">
      <alignment/>
    </xf>
    <xf numFmtId="0" fontId="111" fillId="0" borderId="9" xfId="0" applyFont="1" applyBorder="1" applyAlignment="1">
      <alignment horizontal="center" wrapText="1"/>
    </xf>
    <xf numFmtId="0" fontId="100" fillId="0" borderId="38" xfId="0" applyFont="1" applyFill="1" applyBorder="1" applyAlignment="1">
      <alignment horizontal="center" vertical="center" wrapText="1"/>
    </xf>
    <xf numFmtId="0" fontId="100" fillId="0" borderId="9" xfId="0" applyFont="1" applyBorder="1" applyAlignment="1">
      <alignment horizontal="center" vertical="center" wrapText="1"/>
    </xf>
    <xf numFmtId="0" fontId="176" fillId="0" borderId="9" xfId="0" applyFont="1" applyBorder="1" applyAlignment="1">
      <alignment horizontal="center"/>
    </xf>
    <xf numFmtId="0" fontId="176" fillId="0" borderId="9" xfId="0" applyFont="1" applyBorder="1" applyAlignment="1">
      <alignment/>
    </xf>
    <xf numFmtId="0" fontId="176" fillId="0" borderId="9" xfId="0" applyFont="1" applyBorder="1" applyAlignment="1">
      <alignment horizontal="center" shrinkToFit="1"/>
    </xf>
    <xf numFmtId="0" fontId="176" fillId="0" borderId="9" xfId="0" applyFont="1" applyBorder="1" applyAlignment="1">
      <alignment shrinkToFit="1"/>
    </xf>
    <xf numFmtId="0" fontId="176" fillId="0" borderId="0" xfId="0" applyFont="1" applyAlignment="1">
      <alignment/>
    </xf>
    <xf numFmtId="174" fontId="176" fillId="0" borderId="9" xfId="49" applyNumberFormat="1" applyFont="1" applyBorder="1" applyAlignment="1">
      <alignment shrinkToFit="1"/>
    </xf>
    <xf numFmtId="178" fontId="176" fillId="0" borderId="9" xfId="49" applyNumberFormat="1" applyFont="1" applyBorder="1" applyAlignment="1">
      <alignment/>
    </xf>
    <xf numFmtId="0" fontId="175" fillId="0" borderId="9" xfId="0" applyFont="1" applyBorder="1" applyAlignment="1">
      <alignment horizontal="center" shrinkToFit="1"/>
    </xf>
    <xf numFmtId="43" fontId="175" fillId="0" borderId="9" xfId="49" applyNumberFormat="1" applyFont="1" applyBorder="1" applyAlignment="1">
      <alignment shrinkToFit="1"/>
    </xf>
    <xf numFmtId="174" fontId="175" fillId="0" borderId="9" xfId="49" applyNumberFormat="1" applyFont="1" applyBorder="1" applyAlignment="1">
      <alignment shrinkToFit="1"/>
    </xf>
    <xf numFmtId="178" fontId="175" fillId="0" borderId="9" xfId="49" applyNumberFormat="1" applyFont="1" applyBorder="1" applyAlignment="1">
      <alignment/>
    </xf>
    <xf numFmtId="0" fontId="175" fillId="36" borderId="9" xfId="0" applyFont="1" applyFill="1" applyBorder="1" applyAlignment="1">
      <alignment/>
    </xf>
    <xf numFmtId="43" fontId="175" fillId="36" borderId="9" xfId="49" applyNumberFormat="1" applyFont="1" applyFill="1" applyBorder="1" applyAlignment="1">
      <alignment shrinkToFit="1"/>
    </xf>
    <xf numFmtId="43" fontId="175" fillId="36" borderId="9" xfId="49" applyNumberFormat="1" applyFont="1" applyFill="1" applyBorder="1" applyAlignment="1">
      <alignment/>
    </xf>
    <xf numFmtId="0" fontId="175" fillId="36" borderId="0" xfId="0" applyFont="1" applyFill="1" applyAlignment="1">
      <alignment/>
    </xf>
    <xf numFmtId="178" fontId="176" fillId="0" borderId="9" xfId="49" applyNumberFormat="1" applyFont="1" applyBorder="1" applyAlignment="1">
      <alignment horizontal="center" shrinkToFit="1"/>
    </xf>
    <xf numFmtId="178" fontId="176" fillId="0" borderId="9" xfId="49" applyNumberFormat="1" applyFont="1" applyBorder="1" applyAlignment="1">
      <alignment shrinkToFit="1"/>
    </xf>
    <xf numFmtId="43" fontId="175" fillId="36" borderId="9" xfId="0" applyNumberFormat="1" applyFont="1" applyFill="1" applyBorder="1" applyAlignment="1">
      <alignment horizontal="center" shrinkToFit="1"/>
    </xf>
    <xf numFmtId="178" fontId="175" fillId="36" borderId="9" xfId="49" applyNumberFormat="1" applyFont="1" applyFill="1" applyBorder="1" applyAlignment="1">
      <alignment shrinkToFit="1"/>
    </xf>
    <xf numFmtId="178" fontId="176" fillId="0" borderId="9" xfId="0" applyNumberFormat="1" applyFont="1" applyBorder="1" applyAlignment="1">
      <alignment horizontal="center" shrinkToFit="1"/>
    </xf>
    <xf numFmtId="0" fontId="175" fillId="36" borderId="9" xfId="0" applyFont="1" applyFill="1" applyBorder="1" applyAlignment="1">
      <alignment shrinkToFit="1"/>
    </xf>
    <xf numFmtId="179" fontId="175" fillId="36" borderId="9" xfId="0" applyNumberFormat="1" applyFont="1" applyFill="1" applyBorder="1" applyAlignment="1">
      <alignment horizontal="center" shrinkToFit="1"/>
    </xf>
    <xf numFmtId="1" fontId="175" fillId="36" borderId="9" xfId="0" applyNumberFormat="1" applyFont="1" applyFill="1" applyBorder="1" applyAlignment="1">
      <alignment horizontal="center" shrinkToFit="1"/>
    </xf>
    <xf numFmtId="0" fontId="176" fillId="36" borderId="9" xfId="0" applyFont="1" applyFill="1" applyBorder="1" applyAlignment="1">
      <alignment horizontal="center" shrinkToFit="1"/>
    </xf>
    <xf numFmtId="43" fontId="176" fillId="0" borderId="9" xfId="49" applyNumberFormat="1" applyFont="1" applyBorder="1" applyAlignment="1">
      <alignment shrinkToFit="1"/>
    </xf>
    <xf numFmtId="0" fontId="175" fillId="0" borderId="9" xfId="0" applyFont="1" applyBorder="1" applyAlignment="1">
      <alignment shrinkToFit="1"/>
    </xf>
    <xf numFmtId="174" fontId="70" fillId="0" borderId="9" xfId="49" applyNumberFormat="1" applyFont="1" applyBorder="1" applyAlignment="1">
      <alignment shrinkToFit="1"/>
    </xf>
    <xf numFmtId="178" fontId="70" fillId="0" borderId="9" xfId="49" applyNumberFormat="1" applyFont="1" applyBorder="1" applyAlignment="1">
      <alignment/>
    </xf>
    <xf numFmtId="0" fontId="70" fillId="0" borderId="9" xfId="0" applyFont="1" applyFill="1" applyBorder="1" applyAlignment="1">
      <alignment horizontal="left" vertical="center" shrinkToFit="1"/>
    </xf>
    <xf numFmtId="178" fontId="15" fillId="0" borderId="9" xfId="49" applyNumberFormat="1" applyFont="1" applyBorder="1" applyAlignment="1">
      <alignment horizontal="center" shrinkToFit="1"/>
    </xf>
    <xf numFmtId="43" fontId="19" fillId="36" borderId="9" xfId="49" applyNumberFormat="1" applyFont="1" applyFill="1" applyBorder="1" applyAlignment="1">
      <alignment horizontal="center" shrinkToFit="1"/>
    </xf>
    <xf numFmtId="199" fontId="19" fillId="36" borderId="9" xfId="49" applyNumberFormat="1" applyFont="1" applyFill="1" applyBorder="1" applyAlignment="1">
      <alignment horizontal="center" shrinkToFit="1"/>
    </xf>
    <xf numFmtId="174" fontId="19" fillId="36" borderId="9" xfId="0" applyNumberFormat="1" applyFont="1" applyFill="1" applyBorder="1" applyAlignment="1">
      <alignment horizontal="center" shrinkToFit="1"/>
    </xf>
    <xf numFmtId="206" fontId="19" fillId="36" borderId="9" xfId="0" applyNumberFormat="1" applyFont="1" applyFill="1" applyBorder="1" applyAlignment="1">
      <alignment horizontal="right" shrinkToFit="1"/>
    </xf>
    <xf numFmtId="179" fontId="19" fillId="36" borderId="9" xfId="0" applyNumberFormat="1" applyFont="1" applyFill="1" applyBorder="1" applyAlignment="1">
      <alignment horizontal="center" shrinkToFit="1"/>
    </xf>
    <xf numFmtId="199" fontId="19" fillId="36" borderId="9" xfId="49" applyNumberFormat="1" applyFont="1" applyFill="1" applyBorder="1" applyAlignment="1">
      <alignment shrinkToFit="1"/>
    </xf>
    <xf numFmtId="179" fontId="19" fillId="36" borderId="9" xfId="0" applyNumberFormat="1" applyFont="1" applyFill="1" applyBorder="1" applyAlignment="1">
      <alignment horizontal="right" shrinkToFit="1"/>
    </xf>
    <xf numFmtId="1" fontId="19" fillId="36" borderId="9" xfId="0" applyNumberFormat="1" applyFont="1" applyFill="1" applyBorder="1" applyAlignment="1">
      <alignment horizontal="right" shrinkToFit="1"/>
    </xf>
    <xf numFmtId="43" fontId="19" fillId="0" borderId="9" xfId="49" applyNumberFormat="1" applyFont="1" applyBorder="1" applyAlignment="1">
      <alignment horizontal="center" shrinkToFit="1"/>
    </xf>
    <xf numFmtId="0" fontId="19" fillId="36" borderId="9" xfId="0" applyFont="1" applyFill="1" applyBorder="1" applyAlignment="1">
      <alignment horizontal="right" shrinkToFit="1"/>
    </xf>
    <xf numFmtId="174" fontId="19" fillId="36" borderId="9" xfId="49" applyNumberFormat="1" applyFont="1" applyFill="1" applyBorder="1" applyAlignment="1">
      <alignment horizontal="right" shrinkToFit="1"/>
    </xf>
    <xf numFmtId="174" fontId="19" fillId="36" borderId="9" xfId="49" applyNumberFormat="1" applyFont="1" applyFill="1" applyBorder="1" applyAlignment="1">
      <alignment shrinkToFit="1"/>
    </xf>
    <xf numFmtId="2" fontId="19" fillId="36" borderId="9" xfId="0" applyNumberFormat="1" applyFont="1" applyFill="1" applyBorder="1" applyAlignment="1">
      <alignment horizontal="right" shrinkToFit="1"/>
    </xf>
    <xf numFmtId="43" fontId="15" fillId="36" borderId="9" xfId="0" applyNumberFormat="1" applyFont="1" applyFill="1" applyBorder="1" applyAlignment="1">
      <alignment horizontal="center" shrinkToFit="1"/>
    </xf>
    <xf numFmtId="1" fontId="15" fillId="36" borderId="9" xfId="0" applyNumberFormat="1" applyFont="1" applyFill="1" applyBorder="1" applyAlignment="1">
      <alignment horizontal="center" shrinkToFit="1"/>
    </xf>
    <xf numFmtId="177" fontId="19" fillId="36" borderId="9" xfId="0" applyNumberFormat="1" applyFont="1" applyFill="1" applyBorder="1" applyAlignment="1">
      <alignment horizontal="center" shrinkToFit="1"/>
    </xf>
    <xf numFmtId="40" fontId="19" fillId="36" borderId="9" xfId="0" applyNumberFormat="1" applyFont="1" applyFill="1" applyBorder="1" applyAlignment="1">
      <alignment horizontal="center" shrinkToFit="1"/>
    </xf>
    <xf numFmtId="178" fontId="15" fillId="36" borderId="9" xfId="49" applyNumberFormat="1" applyFont="1" applyFill="1" applyBorder="1" applyAlignment="1">
      <alignment horizontal="center" shrinkToFit="1"/>
    </xf>
    <xf numFmtId="0" fontId="15" fillId="36" borderId="9" xfId="0" applyFont="1" applyFill="1" applyBorder="1" applyAlignment="1">
      <alignment vertical="center"/>
    </xf>
    <xf numFmtId="0" fontId="15" fillId="36" borderId="9" xfId="0" applyFont="1" applyFill="1" applyBorder="1" applyAlignment="1">
      <alignment horizontal="center" vertical="center" shrinkToFit="1"/>
    </xf>
    <xf numFmtId="0" fontId="58" fillId="36" borderId="9" xfId="0" applyFont="1" applyFill="1" applyBorder="1" applyAlignment="1">
      <alignment vertical="center" shrinkToFit="1"/>
    </xf>
    <xf numFmtId="0" fontId="58" fillId="36" borderId="9" xfId="0" applyFont="1" applyFill="1" applyBorder="1" applyAlignment="1">
      <alignment horizontal="right" vertical="center"/>
    </xf>
    <xf numFmtId="0" fontId="15" fillId="36" borderId="0" xfId="0" applyFont="1" applyFill="1" applyAlignment="1">
      <alignment vertical="center"/>
    </xf>
    <xf numFmtId="0" fontId="20" fillId="36" borderId="9" xfId="0" applyFont="1" applyFill="1" applyBorder="1" applyAlignment="1">
      <alignment horizontal="center" vertical="center" wrapText="1"/>
    </xf>
    <xf numFmtId="0" fontId="58" fillId="36" borderId="9" xfId="0" applyFont="1" applyFill="1" applyBorder="1" applyAlignment="1">
      <alignment horizontal="center" vertical="center" shrinkToFit="1"/>
    </xf>
    <xf numFmtId="1" fontId="20" fillId="36" borderId="9" xfId="0" applyNumberFormat="1" applyFont="1" applyFill="1" applyBorder="1" applyAlignment="1">
      <alignment horizontal="center" vertical="center" shrinkToFit="1"/>
    </xf>
    <xf numFmtId="0" fontId="20" fillId="36" borderId="9" xfId="0" applyFont="1" applyFill="1" applyBorder="1" applyAlignment="1">
      <alignment horizontal="right" vertical="center"/>
    </xf>
    <xf numFmtId="43" fontId="175" fillId="0" borderId="9" xfId="0" applyNumberFormat="1" applyFont="1" applyBorder="1" applyAlignment="1">
      <alignment horizontal="center" shrinkToFit="1"/>
    </xf>
    <xf numFmtId="178" fontId="175" fillId="0" borderId="9" xfId="49" applyNumberFormat="1" applyFont="1" applyBorder="1" applyAlignment="1">
      <alignment horizontal="right" shrinkToFit="1"/>
    </xf>
    <xf numFmtId="43" fontId="176" fillId="0" borderId="9" xfId="0" applyNumberFormat="1" applyFont="1" applyBorder="1" applyAlignment="1">
      <alignment horizontal="center" shrinkToFit="1"/>
    </xf>
    <xf numFmtId="178" fontId="176" fillId="36" borderId="9" xfId="49" applyNumberFormat="1" applyFont="1" applyFill="1" applyBorder="1" applyAlignment="1">
      <alignment horizontal="center" shrinkToFit="1"/>
    </xf>
    <xf numFmtId="0" fontId="70" fillId="0" borderId="0" xfId="0" applyFont="1" applyAlignment="1">
      <alignment horizontal="center"/>
    </xf>
    <xf numFmtId="0" fontId="15" fillId="0" borderId="0" xfId="0" applyFont="1" applyFill="1" applyAlignment="1">
      <alignment horizontal="center" vertical="center"/>
    </xf>
    <xf numFmtId="0" fontId="19" fillId="0" borderId="0" xfId="0" applyFont="1" applyBorder="1" applyAlignment="1">
      <alignment horizontal="center" shrinkToFit="1"/>
    </xf>
    <xf numFmtId="0" fontId="20" fillId="36" borderId="9" xfId="0" applyFont="1" applyFill="1" applyBorder="1" applyAlignment="1">
      <alignment/>
    </xf>
    <xf numFmtId="0" fontId="19" fillId="0" borderId="24" xfId="0" applyFont="1" applyBorder="1" applyAlignment="1">
      <alignment horizontal="center" shrinkToFit="1"/>
    </xf>
    <xf numFmtId="0" fontId="18" fillId="36" borderId="37" xfId="0" applyFont="1" applyFill="1" applyBorder="1" applyAlignment="1">
      <alignment horizontal="center" wrapText="1"/>
    </xf>
    <xf numFmtId="0" fontId="100" fillId="0" borderId="24" xfId="0" applyFont="1" applyFill="1" applyBorder="1" applyAlignment="1">
      <alignment horizontal="center" vertical="center" wrapText="1"/>
    </xf>
    <xf numFmtId="38" fontId="19" fillId="0" borderId="9" xfId="0" applyNumberFormat="1" applyFont="1" applyBorder="1" applyAlignment="1">
      <alignment horizontal="right" shrinkToFit="1"/>
    </xf>
    <xf numFmtId="174" fontId="19" fillId="36" borderId="9" xfId="0" applyNumberFormat="1" applyFont="1" applyFill="1" applyBorder="1" applyAlignment="1">
      <alignment horizontal="right" shrinkToFit="1"/>
    </xf>
    <xf numFmtId="0" fontId="19" fillId="0" borderId="9" xfId="0" applyFont="1" applyBorder="1" applyAlignment="1">
      <alignment horizontal="right" shrinkToFit="1"/>
    </xf>
    <xf numFmtId="178" fontId="19" fillId="36" borderId="9" xfId="0" applyNumberFormat="1" applyFont="1" applyFill="1" applyBorder="1" applyAlignment="1">
      <alignment horizontal="right" shrinkToFit="1"/>
    </xf>
    <xf numFmtId="174" fontId="19" fillId="0" borderId="9" xfId="49" applyNumberFormat="1" applyFont="1" applyBorder="1" applyAlignment="1">
      <alignment horizontal="right" shrinkToFit="1"/>
    </xf>
    <xf numFmtId="178" fontId="175" fillId="0" borderId="9" xfId="49" applyNumberFormat="1" applyFont="1" applyFill="1" applyBorder="1" applyAlignment="1">
      <alignment horizontal="right" shrinkToFit="1"/>
    </xf>
    <xf numFmtId="43" fontId="19" fillId="36" borderId="9" xfId="49" applyFont="1" applyFill="1" applyBorder="1" applyAlignment="1">
      <alignment horizontal="right" shrinkToFit="1"/>
    </xf>
    <xf numFmtId="178" fontId="19" fillId="36" borderId="9" xfId="49" applyNumberFormat="1" applyFont="1" applyFill="1" applyBorder="1" applyAlignment="1">
      <alignment horizontal="right" shrinkToFit="1"/>
    </xf>
    <xf numFmtId="179" fontId="175" fillId="36" borderId="9" xfId="0" applyNumberFormat="1" applyFont="1" applyFill="1" applyBorder="1" applyAlignment="1">
      <alignment horizontal="right" shrinkToFit="1"/>
    </xf>
    <xf numFmtId="199" fontId="19" fillId="36" borderId="9" xfId="49" applyNumberFormat="1" applyFont="1" applyFill="1" applyBorder="1" applyAlignment="1">
      <alignment horizontal="right" shrinkToFit="1"/>
    </xf>
    <xf numFmtId="178" fontId="175" fillId="36" borderId="9" xfId="49" applyNumberFormat="1" applyFont="1" applyFill="1" applyBorder="1" applyAlignment="1">
      <alignment horizontal="right" shrinkToFit="1"/>
    </xf>
    <xf numFmtId="177" fontId="15" fillId="36" borderId="9" xfId="0" applyNumberFormat="1" applyFont="1" applyFill="1" applyBorder="1" applyAlignment="1">
      <alignment horizontal="right" shrinkToFit="1"/>
    </xf>
    <xf numFmtId="174" fontId="175" fillId="0" borderId="9" xfId="49" applyNumberFormat="1" applyFont="1" applyBorder="1" applyAlignment="1">
      <alignment horizontal="right" shrinkToFit="1"/>
    </xf>
    <xf numFmtId="1" fontId="15" fillId="36" borderId="9" xfId="0" applyNumberFormat="1" applyFont="1" applyFill="1" applyBorder="1" applyAlignment="1">
      <alignment horizontal="right" shrinkToFit="1"/>
    </xf>
    <xf numFmtId="0" fontId="15" fillId="36" borderId="9" xfId="0" applyFont="1" applyFill="1" applyBorder="1" applyAlignment="1">
      <alignment horizontal="right" shrinkToFit="1"/>
    </xf>
    <xf numFmtId="178" fontId="15" fillId="0" borderId="9" xfId="49" applyNumberFormat="1" applyFont="1" applyBorder="1" applyAlignment="1">
      <alignment horizontal="right" shrinkToFit="1"/>
    </xf>
    <xf numFmtId="43" fontId="15" fillId="36" borderId="9" xfId="49" applyNumberFormat="1" applyFont="1" applyFill="1" applyBorder="1" applyAlignment="1">
      <alignment horizontal="right"/>
    </xf>
    <xf numFmtId="174" fontId="15" fillId="0" borderId="9" xfId="49" applyNumberFormat="1" applyFont="1" applyBorder="1" applyAlignment="1">
      <alignment horizontal="right" shrinkToFit="1"/>
    </xf>
    <xf numFmtId="178" fontId="15" fillId="0" borderId="9" xfId="49" applyNumberFormat="1" applyFont="1" applyBorder="1" applyAlignment="1">
      <alignment horizontal="right"/>
    </xf>
    <xf numFmtId="199" fontId="15" fillId="36" borderId="9" xfId="0" applyNumberFormat="1" applyFont="1" applyFill="1" applyBorder="1" applyAlignment="1">
      <alignment horizontal="right" shrinkToFit="1"/>
    </xf>
    <xf numFmtId="43" fontId="15" fillId="36" borderId="9" xfId="0" applyNumberFormat="1" applyFont="1" applyFill="1" applyBorder="1" applyAlignment="1">
      <alignment horizontal="right" shrinkToFit="1"/>
    </xf>
    <xf numFmtId="178" fontId="15" fillId="36" borderId="9" xfId="0" applyNumberFormat="1" applyFont="1" applyFill="1" applyBorder="1" applyAlignment="1">
      <alignment horizontal="right" shrinkToFit="1"/>
    </xf>
    <xf numFmtId="0" fontId="175" fillId="0" borderId="9" xfId="0" applyFont="1" applyBorder="1" applyAlignment="1">
      <alignment horizontal="right" shrinkToFit="1"/>
    </xf>
    <xf numFmtId="1" fontId="175" fillId="36" borderId="9" xfId="0" applyNumberFormat="1" applyFont="1" applyFill="1" applyBorder="1" applyAlignment="1">
      <alignment horizontal="right" shrinkToFit="1"/>
    </xf>
    <xf numFmtId="178" fontId="175" fillId="0" borderId="9" xfId="0" applyNumberFormat="1" applyFont="1" applyBorder="1" applyAlignment="1">
      <alignment horizontal="right" shrinkToFit="1"/>
    </xf>
    <xf numFmtId="43" fontId="175" fillId="0" borderId="9" xfId="49" applyNumberFormat="1" applyFont="1" applyBorder="1" applyAlignment="1">
      <alignment horizontal="right"/>
    </xf>
    <xf numFmtId="178" fontId="175" fillId="0" borderId="9" xfId="49" applyNumberFormat="1" applyFont="1" applyBorder="1" applyAlignment="1">
      <alignment horizontal="right"/>
    </xf>
    <xf numFmtId="177" fontId="175" fillId="36" borderId="9" xfId="0" applyNumberFormat="1" applyFont="1" applyFill="1" applyBorder="1" applyAlignment="1">
      <alignment horizontal="right" shrinkToFit="1"/>
    </xf>
    <xf numFmtId="43" fontId="19" fillId="0" borderId="9" xfId="49" applyNumberFormat="1" applyFont="1" applyBorder="1" applyAlignment="1">
      <alignment horizontal="right" shrinkToFit="1"/>
    </xf>
    <xf numFmtId="43" fontId="19" fillId="0" borderId="9" xfId="49" applyNumberFormat="1" applyFont="1" applyBorder="1" applyAlignment="1">
      <alignment horizontal="right"/>
    </xf>
    <xf numFmtId="177" fontId="19" fillId="0" borderId="9" xfId="0" applyNumberFormat="1" applyFont="1" applyBorder="1" applyAlignment="1">
      <alignment horizontal="right" shrinkToFit="1"/>
    </xf>
    <xf numFmtId="9" fontId="19" fillId="0" borderId="9" xfId="49" applyNumberFormat="1" applyFont="1" applyBorder="1" applyAlignment="1">
      <alignment horizontal="right"/>
    </xf>
    <xf numFmtId="1" fontId="19" fillId="0" borderId="9" xfId="0" applyNumberFormat="1" applyFont="1" applyBorder="1" applyAlignment="1">
      <alignment horizontal="right" shrinkToFit="1"/>
    </xf>
    <xf numFmtId="178" fontId="175" fillId="0" borderId="9" xfId="0" applyNumberFormat="1" applyFont="1" applyBorder="1" applyAlignment="1">
      <alignment horizontal="center" shrinkToFit="1"/>
    </xf>
    <xf numFmtId="43" fontId="70" fillId="36" borderId="9" xfId="49" applyFont="1" applyFill="1" applyBorder="1" applyAlignment="1">
      <alignment horizontal="right" shrinkToFit="1"/>
    </xf>
    <xf numFmtId="0" fontId="19" fillId="0" borderId="9" xfId="0" applyFont="1" applyBorder="1" applyAlignment="1">
      <alignment horizontal="right"/>
    </xf>
    <xf numFmtId="178" fontId="19" fillId="36" borderId="9" xfId="49" applyNumberFormat="1" applyFont="1" applyFill="1" applyBorder="1" applyAlignment="1">
      <alignment horizontal="right"/>
    </xf>
    <xf numFmtId="174" fontId="19" fillId="36" borderId="9" xfId="0" applyNumberFormat="1" applyFont="1" applyFill="1" applyBorder="1" applyAlignment="1">
      <alignment horizontal="right"/>
    </xf>
    <xf numFmtId="174" fontId="19" fillId="0" borderId="9" xfId="49" applyNumberFormat="1" applyFont="1" applyBorder="1" applyAlignment="1">
      <alignment horizontal="right"/>
    </xf>
    <xf numFmtId="174" fontId="175" fillId="36" borderId="9" xfId="49" applyNumberFormat="1" applyFont="1" applyFill="1" applyBorder="1" applyAlignment="1">
      <alignment horizontal="center" shrinkToFit="1"/>
    </xf>
    <xf numFmtId="43" fontId="175" fillId="36" borderId="9" xfId="49" applyNumberFormat="1" applyFont="1" applyFill="1" applyBorder="1" applyAlignment="1">
      <alignment horizontal="center" shrinkToFit="1"/>
    </xf>
    <xf numFmtId="2" fontId="15" fillId="36" borderId="9" xfId="0" applyNumberFormat="1" applyFont="1" applyFill="1" applyBorder="1" applyAlignment="1">
      <alignment horizontal="right" shrinkToFit="1"/>
    </xf>
    <xf numFmtId="43" fontId="19" fillId="36" borderId="9" xfId="49" applyNumberFormat="1" applyFont="1" applyFill="1" applyBorder="1" applyAlignment="1">
      <alignment horizontal="right" shrinkToFit="1"/>
    </xf>
    <xf numFmtId="0" fontId="176" fillId="0" borderId="9" xfId="0" applyFont="1" applyFill="1" applyBorder="1" applyAlignment="1">
      <alignment horizontal="center" shrinkToFit="1"/>
    </xf>
    <xf numFmtId="174" fontId="175" fillId="0" borderId="9" xfId="49" applyNumberFormat="1" applyFont="1" applyFill="1" applyBorder="1" applyAlignment="1">
      <alignment shrinkToFit="1"/>
    </xf>
    <xf numFmtId="178" fontId="176" fillId="0" borderId="9" xfId="49" applyNumberFormat="1" applyFont="1" applyFill="1" applyBorder="1" applyAlignment="1">
      <alignment horizontal="center" shrinkToFit="1"/>
    </xf>
    <xf numFmtId="43" fontId="175" fillId="0" borderId="9" xfId="49" applyNumberFormat="1" applyFont="1" applyFill="1" applyBorder="1" applyAlignment="1">
      <alignment horizontal="center" shrinkToFit="1"/>
    </xf>
    <xf numFmtId="43" fontId="175" fillId="0" borderId="9" xfId="49" applyFont="1" applyFill="1" applyBorder="1" applyAlignment="1">
      <alignment horizontal="right" shrinkToFit="1"/>
    </xf>
    <xf numFmtId="1" fontId="175" fillId="0" borderId="9" xfId="0" applyNumberFormat="1" applyFont="1" applyFill="1" applyBorder="1" applyAlignment="1">
      <alignment horizontal="right" shrinkToFit="1"/>
    </xf>
    <xf numFmtId="174" fontId="175" fillId="0" borderId="9" xfId="49" applyNumberFormat="1" applyFont="1" applyFill="1" applyBorder="1" applyAlignment="1">
      <alignment horizontal="right" shrinkToFit="1"/>
    </xf>
    <xf numFmtId="199" fontId="175" fillId="0" borderId="9" xfId="49" applyNumberFormat="1" applyFont="1" applyFill="1" applyBorder="1" applyAlignment="1">
      <alignment horizontal="right" shrinkToFit="1"/>
    </xf>
    <xf numFmtId="179" fontId="175" fillId="0" borderId="9" xfId="0" applyNumberFormat="1" applyFont="1" applyFill="1" applyBorder="1" applyAlignment="1">
      <alignment horizontal="right" shrinkToFit="1"/>
    </xf>
    <xf numFmtId="1" fontId="175" fillId="0" borderId="9" xfId="0" applyNumberFormat="1" applyFont="1" applyFill="1" applyBorder="1" applyAlignment="1">
      <alignment horizontal="center" shrinkToFit="1"/>
    </xf>
    <xf numFmtId="174" fontId="175" fillId="0" borderId="9" xfId="49" applyNumberFormat="1" applyFont="1" applyFill="1" applyBorder="1" applyAlignment="1">
      <alignment horizontal="center" shrinkToFit="1"/>
    </xf>
    <xf numFmtId="177" fontId="175" fillId="0" borderId="9" xfId="0" applyNumberFormat="1" applyFont="1" applyFill="1" applyBorder="1" applyAlignment="1">
      <alignment horizontal="right" shrinkToFit="1"/>
    </xf>
    <xf numFmtId="174" fontId="175" fillId="0" borderId="9" xfId="0" applyNumberFormat="1" applyFont="1" applyFill="1" applyBorder="1" applyAlignment="1">
      <alignment horizontal="right" shrinkToFit="1"/>
    </xf>
    <xf numFmtId="0" fontId="15" fillId="0" borderId="9" xfId="0" applyFont="1" applyFill="1" applyBorder="1" applyAlignment="1">
      <alignment horizontal="center" shrinkToFit="1"/>
    </xf>
    <xf numFmtId="0" fontId="112" fillId="0" borderId="35" xfId="0" applyFont="1" applyFill="1" applyBorder="1" applyAlignment="1">
      <alignment horizontal="right" vertical="center"/>
    </xf>
    <xf numFmtId="0" fontId="70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24" xfId="0" applyFont="1" applyFill="1" applyBorder="1" applyAlignment="1">
      <alignment horizontal="center"/>
    </xf>
    <xf numFmtId="174" fontId="15" fillId="0" borderId="9" xfId="0" applyNumberFormat="1" applyFont="1" applyFill="1" applyBorder="1" applyAlignment="1">
      <alignment horizontal="center" shrinkToFit="1"/>
    </xf>
    <xf numFmtId="0" fontId="19" fillId="0" borderId="9" xfId="0" applyFont="1" applyFill="1" applyBorder="1" applyAlignment="1">
      <alignment horizontal="center" shrinkToFit="1"/>
    </xf>
    <xf numFmtId="174" fontId="19" fillId="0" borderId="9" xfId="49" applyNumberFormat="1" applyFont="1" applyFill="1" applyBorder="1" applyAlignment="1">
      <alignment shrinkToFit="1"/>
    </xf>
    <xf numFmtId="178" fontId="15" fillId="0" borderId="9" xfId="49" applyNumberFormat="1" applyFont="1" applyFill="1" applyBorder="1" applyAlignment="1">
      <alignment horizontal="center" shrinkToFit="1"/>
    </xf>
    <xf numFmtId="43" fontId="19" fillId="0" borderId="9" xfId="49" applyNumberFormat="1" applyFont="1" applyFill="1" applyBorder="1" applyAlignment="1">
      <alignment horizontal="center" shrinkToFit="1"/>
    </xf>
    <xf numFmtId="174" fontId="15" fillId="0" borderId="9" xfId="51" applyNumberFormat="1" applyFont="1" applyFill="1" applyBorder="1" applyAlignment="1">
      <alignment horizontal="center" vertical="center" shrinkToFit="1"/>
    </xf>
    <xf numFmtId="43" fontId="19" fillId="0" borderId="9" xfId="49" applyNumberFormat="1" applyFont="1" applyFill="1" applyBorder="1" applyAlignment="1">
      <alignment shrinkToFit="1"/>
    </xf>
    <xf numFmtId="174" fontId="19" fillId="0" borderId="9" xfId="51" applyNumberFormat="1" applyFont="1" applyFill="1" applyBorder="1" applyAlignment="1">
      <alignment horizontal="center" vertical="center" shrinkToFit="1"/>
    </xf>
    <xf numFmtId="43" fontId="19" fillId="0" borderId="9" xfId="0" applyNumberFormat="1" applyFont="1" applyFill="1" applyBorder="1" applyAlignment="1">
      <alignment horizontal="center" shrinkToFit="1"/>
    </xf>
    <xf numFmtId="1" fontId="19" fillId="0" borderId="9" xfId="0" applyNumberFormat="1" applyFont="1" applyFill="1" applyBorder="1" applyAlignment="1">
      <alignment horizontal="right" shrinkToFit="1"/>
    </xf>
    <xf numFmtId="178" fontId="19" fillId="0" borderId="9" xfId="49" applyNumberFormat="1" applyFont="1" applyFill="1" applyBorder="1" applyAlignment="1">
      <alignment horizontal="right" shrinkToFit="1"/>
    </xf>
    <xf numFmtId="174" fontId="19" fillId="0" borderId="9" xfId="49" applyNumberFormat="1" applyFont="1" applyFill="1" applyBorder="1" applyAlignment="1">
      <alignment horizontal="right" shrinkToFit="1"/>
    </xf>
    <xf numFmtId="199" fontId="19" fillId="0" borderId="9" xfId="49" applyNumberFormat="1" applyFont="1" applyFill="1" applyBorder="1" applyAlignment="1">
      <alignment horizontal="right" shrinkToFit="1"/>
    </xf>
    <xf numFmtId="1" fontId="15" fillId="0" borderId="9" xfId="0" applyNumberFormat="1" applyFont="1" applyFill="1" applyBorder="1" applyAlignment="1">
      <alignment horizontal="right" shrinkToFit="1"/>
    </xf>
    <xf numFmtId="179" fontId="15" fillId="0" borderId="9" xfId="0" applyNumberFormat="1" applyFont="1" applyFill="1" applyBorder="1" applyAlignment="1">
      <alignment horizontal="right" shrinkToFit="1"/>
    </xf>
    <xf numFmtId="43" fontId="15" fillId="0" borderId="9" xfId="49" applyNumberFormat="1" applyFont="1" applyBorder="1" applyAlignment="1">
      <alignment horizontal="right"/>
    </xf>
    <xf numFmtId="178" fontId="15" fillId="36" borderId="9" xfId="49" applyNumberFormat="1" applyFont="1" applyFill="1" applyBorder="1" applyAlignment="1">
      <alignment horizontal="right" shrinkToFit="1"/>
    </xf>
    <xf numFmtId="199" fontId="15" fillId="0" borderId="9" xfId="0" applyNumberFormat="1" applyFont="1" applyBorder="1" applyAlignment="1">
      <alignment horizontal="right" shrinkToFit="1"/>
    </xf>
    <xf numFmtId="43" fontId="15" fillId="0" borderId="9" xfId="0" applyNumberFormat="1" applyFont="1" applyBorder="1" applyAlignment="1">
      <alignment horizontal="right" shrinkToFit="1"/>
    </xf>
    <xf numFmtId="178" fontId="15" fillId="0" borderId="9" xfId="0" applyNumberFormat="1" applyFont="1" applyBorder="1" applyAlignment="1">
      <alignment horizontal="right" shrinkToFit="1"/>
    </xf>
    <xf numFmtId="199" fontId="15" fillId="0" borderId="9" xfId="49" applyNumberFormat="1" applyFont="1" applyFill="1" applyBorder="1" applyAlignment="1">
      <alignment horizontal="right" shrinkToFit="1"/>
    </xf>
    <xf numFmtId="178" fontId="15" fillId="0" borderId="9" xfId="0" applyNumberFormat="1" applyFont="1" applyBorder="1" applyAlignment="1">
      <alignment shrinkToFit="1"/>
    </xf>
    <xf numFmtId="2" fontId="15" fillId="0" borderId="9" xfId="0" applyNumberFormat="1" applyFont="1" applyBorder="1" applyAlignment="1">
      <alignment horizontal="right" shrinkToFit="1"/>
    </xf>
    <xf numFmtId="199" fontId="15" fillId="0" borderId="9" xfId="0" applyNumberFormat="1" applyFont="1" applyBorder="1" applyAlignment="1">
      <alignment horizontal="center" shrinkToFit="1"/>
    </xf>
    <xf numFmtId="199" fontId="15" fillId="0" borderId="9" xfId="0" applyNumberFormat="1" applyFont="1" applyFill="1" applyBorder="1" applyAlignment="1">
      <alignment horizontal="center" shrinkToFit="1"/>
    </xf>
    <xf numFmtId="174" fontId="15" fillId="36" borderId="9" xfId="49" applyNumberFormat="1" applyFont="1" applyFill="1" applyBorder="1" applyAlignment="1">
      <alignment horizontal="center" shrinkToFit="1"/>
    </xf>
    <xf numFmtId="1" fontId="19" fillId="0" borderId="9" xfId="0" applyNumberFormat="1" applyFont="1" applyFill="1" applyBorder="1" applyAlignment="1">
      <alignment horizontal="center" shrinkToFit="1"/>
    </xf>
    <xf numFmtId="174" fontId="19" fillId="0" borderId="9" xfId="49" applyNumberFormat="1" applyFont="1" applyFill="1" applyBorder="1" applyAlignment="1">
      <alignment horizontal="center" shrinkToFit="1"/>
    </xf>
    <xf numFmtId="43" fontId="19" fillId="0" borderId="9" xfId="49" applyFont="1" applyFill="1" applyBorder="1" applyAlignment="1">
      <alignment horizontal="center" shrinkToFit="1"/>
    </xf>
    <xf numFmtId="178" fontId="19" fillId="0" borderId="9" xfId="49" applyNumberFormat="1" applyFont="1" applyFill="1" applyBorder="1" applyAlignment="1">
      <alignment horizontal="center" shrinkToFit="1"/>
    </xf>
    <xf numFmtId="174" fontId="19" fillId="0" borderId="9" xfId="49" applyNumberFormat="1" applyFont="1" applyFill="1" applyBorder="1" applyAlignment="1">
      <alignment horizontal="center" vertical="center" shrinkToFit="1"/>
    </xf>
    <xf numFmtId="178" fontId="19" fillId="0" borderId="9" xfId="0" applyNumberFormat="1" applyFont="1" applyFill="1" applyBorder="1" applyAlignment="1">
      <alignment horizontal="center" shrinkToFit="1"/>
    </xf>
    <xf numFmtId="43" fontId="70" fillId="0" borderId="9" xfId="49" applyFont="1" applyFill="1" applyBorder="1" applyAlignment="1">
      <alignment horizontal="center" shrinkToFit="1"/>
    </xf>
    <xf numFmtId="0" fontId="15" fillId="36" borderId="9" xfId="0" applyFont="1" applyFill="1" applyBorder="1" applyAlignment="1">
      <alignment shrinkToFit="1"/>
    </xf>
    <xf numFmtId="0" fontId="19" fillId="37" borderId="9" xfId="0" applyFont="1" applyFill="1" applyBorder="1" applyAlignment="1">
      <alignment horizontal="right" shrinkToFit="1"/>
    </xf>
    <xf numFmtId="0" fontId="19" fillId="37" borderId="9" xfId="0" applyFont="1" applyFill="1" applyBorder="1" applyAlignment="1">
      <alignment horizontal="right"/>
    </xf>
    <xf numFmtId="0" fontId="15" fillId="0" borderId="9" xfId="0" applyFont="1" applyBorder="1" applyAlignment="1">
      <alignment horizontal="right" shrinkToFit="1"/>
    </xf>
    <xf numFmtId="0" fontId="15" fillId="0" borderId="9" xfId="0" applyFont="1" applyBorder="1" applyAlignment="1">
      <alignment horizontal="right"/>
    </xf>
    <xf numFmtId="43" fontId="19" fillId="0" borderId="9" xfId="49" applyNumberFormat="1" applyFont="1" applyFill="1" applyBorder="1" applyAlignment="1">
      <alignment horizontal="right" shrinkToFit="1"/>
    </xf>
    <xf numFmtId="0" fontId="20" fillId="0" borderId="9" xfId="0" applyFont="1" applyFill="1" applyBorder="1" applyAlignment="1">
      <alignment horizontal="center" vertical="center" wrapText="1"/>
    </xf>
    <xf numFmtId="0" fontId="19" fillId="37" borderId="37" xfId="0" applyFont="1" applyFill="1" applyBorder="1" applyAlignment="1">
      <alignment horizontal="center" shrinkToFit="1"/>
    </xf>
    <xf numFmtId="1" fontId="19" fillId="0" borderId="37" xfId="0" applyNumberFormat="1" applyFont="1" applyFill="1" applyBorder="1" applyAlignment="1">
      <alignment horizontal="center" shrinkToFit="1"/>
    </xf>
    <xf numFmtId="1" fontId="19" fillId="37" borderId="9" xfId="0" applyNumberFormat="1" applyFont="1" applyFill="1" applyBorder="1" applyAlignment="1">
      <alignment horizontal="center" shrinkToFit="1"/>
    </xf>
    <xf numFmtId="0" fontId="18" fillId="37" borderId="9" xfId="0" applyFont="1" applyFill="1" applyBorder="1" applyAlignment="1">
      <alignment shrinkToFit="1"/>
    </xf>
    <xf numFmtId="38" fontId="175" fillId="0" borderId="9" xfId="0" applyNumberFormat="1" applyFont="1" applyBorder="1" applyAlignment="1">
      <alignment horizontal="right" shrinkToFit="1"/>
    </xf>
    <xf numFmtId="40" fontId="175" fillId="0" borderId="9" xfId="0" applyNumberFormat="1" applyFont="1" applyBorder="1" applyAlignment="1">
      <alignment horizontal="right" shrinkToFit="1"/>
    </xf>
    <xf numFmtId="40" fontId="175" fillId="0" borderId="9" xfId="0" applyNumberFormat="1" applyFont="1" applyBorder="1" applyAlignment="1">
      <alignment shrinkToFit="1"/>
    </xf>
    <xf numFmtId="178" fontId="175" fillId="0" borderId="9" xfId="49" applyNumberFormat="1" applyFont="1" applyBorder="1" applyAlignment="1">
      <alignment shrinkToFit="1"/>
    </xf>
    <xf numFmtId="174" fontId="175" fillId="36" borderId="9" xfId="49" applyNumberFormat="1" applyFont="1" applyFill="1" applyBorder="1" applyAlignment="1">
      <alignment shrinkToFit="1"/>
    </xf>
    <xf numFmtId="43" fontId="176" fillId="36" borderId="9" xfId="49" applyNumberFormat="1" applyFont="1" applyFill="1" applyBorder="1" applyAlignment="1">
      <alignment shrinkToFit="1"/>
    </xf>
    <xf numFmtId="178" fontId="176" fillId="36" borderId="9" xfId="49" applyNumberFormat="1" applyFont="1" applyFill="1" applyBorder="1" applyAlignment="1">
      <alignment shrinkToFit="1"/>
    </xf>
    <xf numFmtId="199" fontId="175" fillId="0" borderId="9" xfId="0" applyNumberFormat="1" applyFont="1" applyBorder="1" applyAlignment="1">
      <alignment horizontal="center" shrinkToFit="1"/>
    </xf>
    <xf numFmtId="43" fontId="175" fillId="36" borderId="9" xfId="49" applyFont="1" applyFill="1" applyBorder="1" applyAlignment="1">
      <alignment horizontal="center" shrinkToFit="1"/>
    </xf>
    <xf numFmtId="199" fontId="175" fillId="36" borderId="9" xfId="49" applyNumberFormat="1" applyFont="1" applyFill="1" applyBorder="1" applyAlignment="1">
      <alignment horizontal="center" shrinkToFit="1"/>
    </xf>
    <xf numFmtId="199" fontId="175" fillId="36" borderId="9" xfId="49" applyNumberFormat="1" applyFont="1" applyFill="1" applyBorder="1" applyAlignment="1">
      <alignment shrinkToFit="1"/>
    </xf>
    <xf numFmtId="179" fontId="175" fillId="36" borderId="9" xfId="0" applyNumberFormat="1" applyFont="1" applyFill="1" applyBorder="1" applyAlignment="1">
      <alignment shrinkToFit="1"/>
    </xf>
    <xf numFmtId="199" fontId="175" fillId="36" borderId="9" xfId="49" applyNumberFormat="1" applyFont="1" applyFill="1" applyBorder="1" applyAlignment="1">
      <alignment/>
    </xf>
    <xf numFmtId="43" fontId="175" fillId="0" borderId="9" xfId="49" applyNumberFormat="1" applyFont="1" applyBorder="1" applyAlignment="1">
      <alignment horizontal="right" shrinkToFit="1"/>
    </xf>
    <xf numFmtId="43" fontId="175" fillId="0" borderId="9" xfId="49" applyFont="1" applyBorder="1" applyAlignment="1">
      <alignment horizontal="center" shrinkToFit="1"/>
    </xf>
    <xf numFmtId="178" fontId="175" fillId="0" borderId="9" xfId="49" applyNumberFormat="1" applyFont="1" applyBorder="1" applyAlignment="1">
      <alignment horizontal="center" shrinkToFit="1"/>
    </xf>
    <xf numFmtId="0" fontId="74" fillId="36" borderId="9" xfId="0" applyFont="1" applyFill="1" applyBorder="1" applyAlignment="1">
      <alignment horizontal="center" vertical="center" shrinkToFit="1"/>
    </xf>
    <xf numFmtId="0" fontId="70" fillId="36" borderId="9" xfId="0" applyFont="1" applyFill="1" applyBorder="1" applyAlignment="1">
      <alignment horizontal="center" vertical="center" shrinkToFit="1"/>
    </xf>
    <xf numFmtId="1" fontId="70" fillId="36" borderId="9" xfId="0" applyNumberFormat="1" applyFont="1" applyFill="1" applyBorder="1" applyAlignment="1">
      <alignment horizontal="center" vertical="center" shrinkToFit="1"/>
    </xf>
    <xf numFmtId="1" fontId="70" fillId="36" borderId="9" xfId="0" applyNumberFormat="1" applyFont="1" applyFill="1" applyBorder="1" applyAlignment="1">
      <alignment horizontal="right" vertical="center" shrinkToFit="1"/>
    </xf>
    <xf numFmtId="43" fontId="70" fillId="36" borderId="9" xfId="49" applyNumberFormat="1" applyFont="1" applyFill="1" applyBorder="1" applyAlignment="1">
      <alignment vertical="center" shrinkToFit="1"/>
    </xf>
    <xf numFmtId="43" fontId="70" fillId="36" borderId="9" xfId="49" applyNumberFormat="1" applyFont="1" applyFill="1" applyBorder="1" applyAlignment="1">
      <alignment vertical="center"/>
    </xf>
    <xf numFmtId="174" fontId="70" fillId="0" borderId="9" xfId="49" applyNumberFormat="1" applyFont="1" applyBorder="1" applyAlignment="1">
      <alignment vertical="center" shrinkToFit="1"/>
    </xf>
    <xf numFmtId="178" fontId="70" fillId="0" borderId="9" xfId="49" applyNumberFormat="1" applyFont="1" applyBorder="1" applyAlignment="1">
      <alignment vertical="center"/>
    </xf>
    <xf numFmtId="1" fontId="70" fillId="0" borderId="9" xfId="0" applyNumberFormat="1" applyFont="1" applyFill="1" applyBorder="1" applyAlignment="1">
      <alignment horizontal="right" vertical="center" shrinkToFit="1"/>
    </xf>
    <xf numFmtId="178" fontId="70" fillId="36" borderId="9" xfId="0" applyNumberFormat="1" applyFont="1" applyFill="1" applyBorder="1" applyAlignment="1">
      <alignment horizontal="center" vertical="center" shrinkToFit="1"/>
    </xf>
    <xf numFmtId="0" fontId="70" fillId="36" borderId="0" xfId="0" applyFont="1" applyFill="1" applyAlignment="1">
      <alignment vertical="center"/>
    </xf>
    <xf numFmtId="3" fontId="176" fillId="0" borderId="9" xfId="0" applyNumberFormat="1" applyFont="1" applyBorder="1" applyAlignment="1">
      <alignment horizontal="center" shrinkToFit="1"/>
    </xf>
    <xf numFmtId="178" fontId="175" fillId="36" borderId="9" xfId="49" applyNumberFormat="1" applyFont="1" applyFill="1" applyBorder="1" applyAlignment="1">
      <alignment horizontal="center" shrinkToFit="1"/>
    </xf>
    <xf numFmtId="199" fontId="176" fillId="0" borderId="9" xfId="49" applyNumberFormat="1" applyFont="1" applyBorder="1" applyAlignment="1">
      <alignment/>
    </xf>
    <xf numFmtId="199" fontId="175" fillId="0" borderId="9" xfId="49" applyNumberFormat="1" applyFont="1" applyBorder="1" applyAlignment="1">
      <alignment horizontal="center" shrinkToFit="1"/>
    </xf>
    <xf numFmtId="43" fontId="175" fillId="0" borderId="9" xfId="0" applyNumberFormat="1" applyFont="1" applyBorder="1" applyAlignment="1">
      <alignment horizontal="right" shrinkToFit="1"/>
    </xf>
    <xf numFmtId="43" fontId="175" fillId="0" borderId="9" xfId="0" applyNumberFormat="1" applyFont="1" applyBorder="1" applyAlignment="1">
      <alignment shrinkToFit="1"/>
    </xf>
    <xf numFmtId="2" fontId="175" fillId="36" borderId="9" xfId="0" applyNumberFormat="1" applyFont="1" applyFill="1" applyBorder="1" applyAlignment="1">
      <alignment horizontal="center" shrinkToFit="1"/>
    </xf>
    <xf numFmtId="174" fontId="175" fillId="36" borderId="9" xfId="0" applyNumberFormat="1" applyFont="1" applyFill="1" applyBorder="1" applyAlignment="1">
      <alignment horizontal="right" shrinkToFit="1"/>
    </xf>
    <xf numFmtId="2" fontId="175" fillId="36" borderId="9" xfId="0" applyNumberFormat="1" applyFont="1" applyFill="1" applyBorder="1" applyAlignment="1">
      <alignment shrinkToFit="1"/>
    </xf>
    <xf numFmtId="175" fontId="175" fillId="36" borderId="9" xfId="0" applyNumberFormat="1" applyFont="1" applyFill="1" applyBorder="1" applyAlignment="1">
      <alignment horizontal="right" shrinkToFit="1"/>
    </xf>
    <xf numFmtId="4" fontId="175" fillId="36" borderId="9" xfId="0" applyNumberFormat="1" applyFont="1" applyFill="1" applyBorder="1" applyAlignment="1">
      <alignment horizontal="center" shrinkToFit="1"/>
    </xf>
    <xf numFmtId="3" fontId="176" fillId="0" borderId="9" xfId="0" applyNumberFormat="1" applyFont="1" applyBorder="1" applyAlignment="1">
      <alignment horizontal="right" shrinkToFit="1"/>
    </xf>
    <xf numFmtId="178" fontId="176" fillId="0" borderId="9" xfId="49" applyNumberFormat="1" applyFont="1" applyFill="1" applyBorder="1" applyAlignment="1">
      <alignment horizontal="right" shrinkToFit="1"/>
    </xf>
    <xf numFmtId="174" fontId="175" fillId="36" borderId="9" xfId="49" applyNumberFormat="1" applyFont="1" applyFill="1" applyBorder="1" applyAlignment="1">
      <alignment horizontal="right" shrinkToFit="1"/>
    </xf>
    <xf numFmtId="174" fontId="175" fillId="0" borderId="9" xfId="0" applyNumberFormat="1" applyFont="1" applyBorder="1" applyAlignment="1">
      <alignment shrinkToFit="1"/>
    </xf>
    <xf numFmtId="43" fontId="175" fillId="36" borderId="9" xfId="49" applyFont="1" applyFill="1" applyBorder="1" applyAlignment="1">
      <alignment horizontal="right" shrinkToFit="1"/>
    </xf>
    <xf numFmtId="174" fontId="175" fillId="0" borderId="9" xfId="0" applyNumberFormat="1" applyFont="1" applyBorder="1" applyAlignment="1">
      <alignment horizontal="right" shrinkToFit="1"/>
    </xf>
    <xf numFmtId="178" fontId="175" fillId="0" borderId="9" xfId="0" applyNumberFormat="1" applyFont="1" applyBorder="1" applyAlignment="1">
      <alignment shrinkToFit="1"/>
    </xf>
    <xf numFmtId="174" fontId="175" fillId="0" borderId="9" xfId="0" applyNumberFormat="1" applyFont="1" applyBorder="1" applyAlignment="1">
      <alignment horizontal="center" shrinkToFit="1"/>
    </xf>
    <xf numFmtId="174" fontId="175" fillId="36" borderId="9" xfId="0" applyNumberFormat="1" applyFont="1" applyFill="1" applyBorder="1" applyAlignment="1">
      <alignment horizontal="center" shrinkToFit="1"/>
    </xf>
    <xf numFmtId="178" fontId="175" fillId="36" borderId="9" xfId="0" applyNumberFormat="1" applyFont="1" applyFill="1" applyBorder="1" applyAlignment="1">
      <alignment horizontal="right" shrinkToFit="1"/>
    </xf>
    <xf numFmtId="43" fontId="175" fillId="36" borderId="9" xfId="0" applyNumberFormat="1" applyFont="1" applyFill="1" applyBorder="1" applyAlignment="1">
      <alignment shrinkToFit="1"/>
    </xf>
    <xf numFmtId="43" fontId="175" fillId="36" borderId="9" xfId="0" applyNumberFormat="1" applyFont="1" applyFill="1" applyBorder="1" applyAlignment="1">
      <alignment horizontal="center"/>
    </xf>
    <xf numFmtId="0" fontId="175" fillId="36" borderId="9" xfId="0" applyFont="1" applyFill="1" applyBorder="1" applyAlignment="1">
      <alignment vertical="center" shrinkToFit="1"/>
    </xf>
    <xf numFmtId="174" fontId="176" fillId="0" borderId="9" xfId="49" applyNumberFormat="1" applyFont="1" applyFill="1" applyBorder="1" applyAlignment="1">
      <alignment shrinkToFit="1"/>
    </xf>
    <xf numFmtId="2" fontId="19" fillId="0" borderId="9" xfId="0" applyNumberFormat="1" applyFont="1" applyFill="1" applyBorder="1" applyAlignment="1">
      <alignment horizontal="right" shrinkToFit="1"/>
    </xf>
    <xf numFmtId="43" fontId="175" fillId="37" borderId="9" xfId="49" applyFont="1" applyFill="1" applyBorder="1" applyAlignment="1">
      <alignment horizontal="right" shrinkToFit="1"/>
    </xf>
    <xf numFmtId="0" fontId="20" fillId="0" borderId="0" xfId="0" applyFont="1" applyFill="1" applyAlignment="1">
      <alignment horizontal="right" vertical="center" wrapText="1"/>
    </xf>
    <xf numFmtId="0" fontId="15" fillId="0" borderId="0" xfId="0" applyFont="1" applyFill="1" applyAlignment="1">
      <alignment horizontal="right" vertical="center"/>
    </xf>
    <xf numFmtId="0" fontId="19" fillId="0" borderId="0" xfId="0" applyFont="1" applyFill="1" applyAlignment="1">
      <alignment horizontal="right"/>
    </xf>
    <xf numFmtId="0" fontId="100" fillId="0" borderId="0" xfId="0" applyFont="1" applyFill="1" applyAlignment="1">
      <alignment/>
    </xf>
    <xf numFmtId="0" fontId="15" fillId="0" borderId="9" xfId="0" applyFont="1" applyFill="1" applyBorder="1" applyAlignment="1">
      <alignment horizontal="center"/>
    </xf>
    <xf numFmtId="0" fontId="15" fillId="0" borderId="9" xfId="0" applyFont="1" applyFill="1" applyBorder="1" applyAlignment="1">
      <alignment/>
    </xf>
    <xf numFmtId="0" fontId="15" fillId="0" borderId="9" xfId="0" applyFont="1" applyFill="1" applyBorder="1" applyAlignment="1">
      <alignment horizontal="right" shrinkToFit="1"/>
    </xf>
    <xf numFmtId="0" fontId="15" fillId="0" borderId="9" xfId="0" applyFont="1" applyFill="1" applyBorder="1" applyAlignment="1">
      <alignment vertical="center"/>
    </xf>
    <xf numFmtId="0" fontId="15" fillId="0" borderId="9" xfId="0" applyFont="1" applyFill="1" applyBorder="1" applyAlignment="1">
      <alignment horizontal="center" vertical="center" shrinkToFit="1"/>
    </xf>
    <xf numFmtId="174" fontId="15" fillId="0" borderId="9" xfId="0" applyNumberFormat="1" applyFont="1" applyFill="1" applyBorder="1" applyAlignment="1">
      <alignment horizontal="right" vertical="center" shrinkToFit="1"/>
    </xf>
    <xf numFmtId="0" fontId="15" fillId="0" borderId="0" xfId="0" applyFont="1" applyFill="1" applyAlignment="1">
      <alignment vertical="center"/>
    </xf>
    <xf numFmtId="0" fontId="19" fillId="0" borderId="9" xfId="0" applyFont="1" applyFill="1" applyBorder="1" applyAlignment="1">
      <alignment horizontal="center"/>
    </xf>
    <xf numFmtId="0" fontId="19" fillId="0" borderId="9" xfId="0" applyFont="1" applyFill="1" applyBorder="1" applyAlignment="1">
      <alignment/>
    </xf>
    <xf numFmtId="43" fontId="19" fillId="0" borderId="9" xfId="51" applyNumberFormat="1" applyFont="1" applyFill="1" applyBorder="1" applyAlignment="1">
      <alignment shrinkToFit="1"/>
    </xf>
    <xf numFmtId="0" fontId="19" fillId="0" borderId="9" xfId="0" applyFont="1" applyFill="1" applyBorder="1" applyAlignment="1">
      <alignment vertical="center"/>
    </xf>
    <xf numFmtId="0" fontId="19" fillId="0" borderId="9" xfId="0" applyFont="1" applyFill="1" applyBorder="1" applyAlignment="1">
      <alignment horizontal="center" vertical="center" shrinkToFit="1"/>
    </xf>
    <xf numFmtId="174" fontId="19" fillId="0" borderId="9" xfId="51" applyNumberFormat="1" applyFont="1" applyFill="1" applyBorder="1" applyAlignment="1">
      <alignment horizontal="right" vertical="center" shrinkToFit="1"/>
    </xf>
    <xf numFmtId="178" fontId="19" fillId="0" borderId="9" xfId="51" applyNumberFormat="1" applyFont="1" applyFill="1" applyBorder="1" applyAlignment="1">
      <alignment horizontal="right" vertical="center" shrinkToFit="1"/>
    </xf>
    <xf numFmtId="43" fontId="19" fillId="0" borderId="9" xfId="51" applyNumberFormat="1" applyFont="1" applyFill="1" applyBorder="1" applyAlignment="1">
      <alignment horizontal="right" vertical="center" shrinkToFit="1"/>
    </xf>
    <xf numFmtId="43" fontId="19" fillId="0" borderId="9" xfId="51" applyNumberFormat="1" applyFont="1" applyFill="1" applyBorder="1" applyAlignment="1">
      <alignment horizontal="right" shrinkToFit="1"/>
    </xf>
    <xf numFmtId="0" fontId="19" fillId="0" borderId="9" xfId="0" applyFont="1" applyFill="1" applyBorder="1" applyAlignment="1">
      <alignment vertical="center" shrinkToFit="1"/>
    </xf>
    <xf numFmtId="43" fontId="19" fillId="0" borderId="9" xfId="51" applyFont="1" applyFill="1" applyBorder="1" applyAlignment="1">
      <alignment horizontal="center" vertical="center" shrinkToFit="1"/>
    </xf>
    <xf numFmtId="199" fontId="19" fillId="0" borderId="9" xfId="51" applyNumberFormat="1" applyFont="1" applyFill="1" applyBorder="1" applyAlignment="1">
      <alignment horizontal="right" vertical="center" shrinkToFit="1"/>
    </xf>
    <xf numFmtId="178" fontId="19" fillId="0" borderId="9" xfId="51" applyNumberFormat="1" applyFont="1" applyFill="1" applyBorder="1" applyAlignment="1">
      <alignment horizontal="center" vertical="center" shrinkToFit="1"/>
    </xf>
    <xf numFmtId="1" fontId="19" fillId="0" borderId="9" xfId="0" applyNumberFormat="1" applyFont="1" applyFill="1" applyBorder="1" applyAlignment="1">
      <alignment horizontal="center" vertical="center" shrinkToFit="1"/>
    </xf>
    <xf numFmtId="1" fontId="19" fillId="0" borderId="9" xfId="0" applyNumberFormat="1" applyFont="1" applyFill="1" applyBorder="1" applyAlignment="1">
      <alignment horizontal="right" vertical="center" shrinkToFit="1"/>
    </xf>
    <xf numFmtId="0" fontId="19" fillId="0" borderId="9" xfId="0" applyFont="1" applyFill="1" applyBorder="1" applyAlignment="1">
      <alignment horizontal="right" vertical="center" shrinkToFit="1"/>
    </xf>
    <xf numFmtId="0" fontId="19" fillId="0" borderId="9" xfId="0" applyFont="1" applyFill="1" applyBorder="1" applyAlignment="1">
      <alignment shrinkToFit="1"/>
    </xf>
    <xf numFmtId="178" fontId="19" fillId="0" borderId="9" xfId="51" applyNumberFormat="1" applyFont="1" applyFill="1" applyBorder="1" applyAlignment="1">
      <alignment horizontal="center" shrinkToFit="1"/>
    </xf>
    <xf numFmtId="2" fontId="19" fillId="0" borderId="9" xfId="0" applyNumberFormat="1" applyFont="1" applyFill="1" applyBorder="1" applyAlignment="1">
      <alignment horizontal="right" vertical="center" shrinkToFit="1"/>
    </xf>
    <xf numFmtId="178" fontId="19" fillId="0" borderId="9" xfId="51" applyNumberFormat="1" applyFont="1" applyFill="1" applyBorder="1" applyAlignment="1">
      <alignment horizontal="right" shrinkToFit="1"/>
    </xf>
    <xf numFmtId="178" fontId="15" fillId="0" borderId="9" xfId="51" applyNumberFormat="1" applyFont="1" applyFill="1" applyBorder="1" applyAlignment="1">
      <alignment horizontal="right" vertical="center" shrinkToFit="1"/>
    </xf>
    <xf numFmtId="178" fontId="15" fillId="0" borderId="9" xfId="51" applyNumberFormat="1" applyFont="1" applyFill="1" applyBorder="1" applyAlignment="1">
      <alignment horizontal="right" shrinkToFit="1"/>
    </xf>
    <xf numFmtId="199" fontId="15" fillId="0" borderId="9" xfId="0" applyNumberFormat="1" applyFont="1" applyFill="1" applyBorder="1" applyAlignment="1">
      <alignment horizontal="right" vertical="center" shrinkToFit="1"/>
    </xf>
    <xf numFmtId="178" fontId="19" fillId="0" borderId="9" xfId="0" applyNumberFormat="1" applyFont="1" applyFill="1" applyBorder="1" applyAlignment="1">
      <alignment horizontal="right" vertical="center" shrinkToFit="1"/>
    </xf>
    <xf numFmtId="177" fontId="19" fillId="0" borderId="9" xfId="0" applyNumberFormat="1" applyFont="1" applyFill="1" applyBorder="1" applyAlignment="1">
      <alignment horizontal="right" vertical="center" shrinkToFit="1"/>
    </xf>
    <xf numFmtId="43" fontId="19" fillId="0" borderId="9" xfId="51" applyFont="1" applyFill="1" applyBorder="1" applyAlignment="1">
      <alignment horizontal="right" vertical="center" shrinkToFit="1"/>
    </xf>
    <xf numFmtId="43" fontId="19" fillId="0" borderId="9" xfId="51" applyFont="1" applyFill="1" applyBorder="1" applyAlignment="1">
      <alignment horizontal="right" shrinkToFit="1"/>
    </xf>
    <xf numFmtId="0" fontId="70" fillId="0" borderId="9" xfId="0" applyFont="1" applyFill="1" applyBorder="1" applyAlignment="1">
      <alignment horizontal="center" vertical="center" shrinkToFit="1"/>
    </xf>
    <xf numFmtId="0" fontId="15" fillId="0" borderId="9" xfId="0" applyFont="1" applyFill="1" applyBorder="1" applyAlignment="1" quotePrefix="1">
      <alignment/>
    </xf>
    <xf numFmtId="0" fontId="84" fillId="0" borderId="9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left" vertical="center"/>
    </xf>
    <xf numFmtId="0" fontId="19" fillId="0" borderId="9" xfId="0" applyFont="1" applyFill="1" applyBorder="1" applyAlignment="1">
      <alignment horizontal="left" vertical="center" wrapText="1" shrinkToFit="1"/>
    </xf>
    <xf numFmtId="0" fontId="70" fillId="0" borderId="9" xfId="0" applyFont="1" applyFill="1" applyBorder="1" applyAlignment="1">
      <alignment horizontal="left" vertical="center"/>
    </xf>
    <xf numFmtId="0" fontId="70" fillId="0" borderId="9" xfId="0" applyFont="1" applyFill="1" applyBorder="1" applyAlignment="1" quotePrefix="1">
      <alignment horizontal="left" vertical="center" wrapText="1" shrinkToFit="1"/>
    </xf>
    <xf numFmtId="0" fontId="15" fillId="0" borderId="0" xfId="0" applyFont="1" applyFill="1" applyAlignment="1">
      <alignment/>
    </xf>
    <xf numFmtId="1" fontId="19" fillId="0" borderId="9" xfId="0" applyNumberFormat="1" applyFont="1" applyFill="1" applyBorder="1" applyAlignment="1">
      <alignment horizontal="right" vertical="center" shrinkToFit="1"/>
    </xf>
    <xf numFmtId="178" fontId="18" fillId="0" borderId="9" xfId="51" applyNumberFormat="1" applyFont="1" applyFill="1" applyBorder="1" applyAlignment="1">
      <alignment horizontal="center" vertical="center" wrapText="1" shrinkToFit="1"/>
    </xf>
    <xf numFmtId="178" fontId="18" fillId="0" borderId="9" xfId="51" applyNumberFormat="1" applyFont="1" applyFill="1" applyBorder="1" applyAlignment="1">
      <alignment horizontal="center" vertical="center" wrapText="1" shrinkToFit="1"/>
    </xf>
    <xf numFmtId="177" fontId="31" fillId="0" borderId="9" xfId="0" applyNumberFormat="1" applyFont="1" applyFill="1" applyBorder="1" applyAlignment="1">
      <alignment horizontal="center" vertical="center" wrapText="1" shrinkToFit="1"/>
    </xf>
    <xf numFmtId="43" fontId="70" fillId="0" borderId="9" xfId="51" applyFont="1" applyFill="1" applyBorder="1" applyAlignment="1">
      <alignment horizontal="right" vertical="center" shrinkToFit="1"/>
    </xf>
    <xf numFmtId="178" fontId="19" fillId="36" borderId="9" xfId="51" applyNumberFormat="1" applyFont="1" applyFill="1" applyBorder="1" applyAlignment="1">
      <alignment horizontal="right" vertical="center" shrinkToFit="1"/>
    </xf>
    <xf numFmtId="0" fontId="15" fillId="0" borderId="9" xfId="0" applyFont="1" applyFill="1" applyBorder="1" applyAlignment="1">
      <alignment horizontal="center"/>
    </xf>
    <xf numFmtId="0" fontId="15" fillId="0" borderId="9" xfId="0" applyFont="1" applyFill="1" applyBorder="1" applyAlignment="1">
      <alignment/>
    </xf>
    <xf numFmtId="0" fontId="15" fillId="0" borderId="9" xfId="0" applyFont="1" applyFill="1" applyBorder="1" applyAlignment="1">
      <alignment horizontal="center" shrinkToFit="1"/>
    </xf>
    <xf numFmtId="178" fontId="15" fillId="36" borderId="9" xfId="51" applyNumberFormat="1" applyFont="1" applyFill="1" applyBorder="1" applyAlignment="1">
      <alignment horizontal="right" vertical="center" shrinkToFit="1"/>
    </xf>
    <xf numFmtId="178" fontId="15" fillId="0" borderId="9" xfId="51" applyNumberFormat="1" applyFont="1" applyFill="1" applyBorder="1" applyAlignment="1">
      <alignment horizontal="right" vertical="center" shrinkToFit="1"/>
    </xf>
    <xf numFmtId="174" fontId="175" fillId="0" borderId="9" xfId="51" applyNumberFormat="1" applyFont="1" applyFill="1" applyBorder="1" applyAlignment="1">
      <alignment horizontal="right" vertical="center" shrinkToFit="1"/>
    </xf>
    <xf numFmtId="1" fontId="175" fillId="0" borderId="9" xfId="0" applyNumberFormat="1" applyFont="1" applyFill="1" applyBorder="1" applyAlignment="1">
      <alignment horizontal="right" vertical="center" shrinkToFit="1"/>
    </xf>
    <xf numFmtId="178" fontId="175" fillId="0" borderId="9" xfId="51" applyNumberFormat="1" applyFont="1" applyFill="1" applyBorder="1" applyAlignment="1">
      <alignment horizontal="right" vertical="center" shrinkToFit="1"/>
    </xf>
    <xf numFmtId="43" fontId="175" fillId="0" borderId="9" xfId="51" applyNumberFormat="1" applyFont="1" applyFill="1" applyBorder="1" applyAlignment="1">
      <alignment horizontal="right" vertical="center" shrinkToFit="1"/>
    </xf>
    <xf numFmtId="178" fontId="18" fillId="0" borderId="9" xfId="51" applyNumberFormat="1" applyFont="1" applyFill="1" applyBorder="1" applyAlignment="1">
      <alignment vertical="center" wrapText="1" shrinkToFit="1"/>
    </xf>
    <xf numFmtId="0" fontId="175" fillId="0" borderId="9" xfId="0" applyFont="1" applyFill="1" applyBorder="1" applyAlignment="1">
      <alignment horizontal="center" vertical="center"/>
    </xf>
    <xf numFmtId="0" fontId="175" fillId="0" borderId="9" xfId="0" applyFont="1" applyFill="1" applyBorder="1" applyAlignment="1">
      <alignment vertical="center"/>
    </xf>
    <xf numFmtId="0" fontId="175" fillId="0" borderId="9" xfId="0" applyFont="1" applyFill="1" applyBorder="1" applyAlignment="1">
      <alignment horizontal="center" vertical="center" shrinkToFit="1"/>
    </xf>
    <xf numFmtId="178" fontId="179" fillId="0" borderId="9" xfId="51" applyNumberFormat="1" applyFont="1" applyFill="1" applyBorder="1" applyAlignment="1">
      <alignment horizontal="center" vertical="center" wrapText="1" shrinkToFit="1"/>
    </xf>
    <xf numFmtId="0" fontId="175" fillId="0" borderId="9" xfId="0" applyFont="1" applyFill="1" applyBorder="1" applyAlignment="1">
      <alignment vertical="center" wrapText="1"/>
    </xf>
    <xf numFmtId="177" fontId="175" fillId="0" borderId="9" xfId="0" applyNumberFormat="1" applyFont="1" applyFill="1" applyBorder="1" applyAlignment="1">
      <alignment horizontal="right" vertical="center" shrinkToFit="1"/>
    </xf>
    <xf numFmtId="0" fontId="175" fillId="0" borderId="9" xfId="0" applyFont="1" applyFill="1" applyBorder="1" applyAlignment="1">
      <alignment vertical="center" shrinkToFit="1"/>
    </xf>
    <xf numFmtId="178" fontId="175" fillId="0" borderId="9" xfId="0" applyNumberFormat="1" applyFont="1" applyFill="1" applyBorder="1" applyAlignment="1">
      <alignment horizontal="right" vertical="center" shrinkToFit="1"/>
    </xf>
    <xf numFmtId="0" fontId="176" fillId="0" borderId="0" xfId="0" applyFont="1" applyFill="1" applyAlignment="1">
      <alignment vertical="center"/>
    </xf>
    <xf numFmtId="0" fontId="176" fillId="0" borderId="9" xfId="0" applyFont="1" applyFill="1" applyBorder="1" applyAlignment="1">
      <alignment horizontal="center" vertical="center"/>
    </xf>
    <xf numFmtId="0" fontId="176" fillId="0" borderId="9" xfId="0" applyFont="1" applyFill="1" applyBorder="1" applyAlignment="1">
      <alignment vertical="center" shrinkToFit="1"/>
    </xf>
    <xf numFmtId="0" fontId="176" fillId="0" borderId="9" xfId="0" applyFont="1" applyFill="1" applyBorder="1" applyAlignment="1">
      <alignment horizontal="center" vertical="center" shrinkToFit="1"/>
    </xf>
    <xf numFmtId="178" fontId="176" fillId="0" borderId="9" xfId="51" applyNumberFormat="1" applyFont="1" applyFill="1" applyBorder="1" applyAlignment="1">
      <alignment horizontal="right" vertical="center" shrinkToFit="1"/>
    </xf>
    <xf numFmtId="0" fontId="175" fillId="0" borderId="9" xfId="0" applyFont="1" applyFill="1" applyBorder="1" applyAlignment="1">
      <alignment horizontal="center"/>
    </xf>
    <xf numFmtId="0" fontId="175" fillId="0" borderId="9" xfId="0" applyFont="1" applyFill="1" applyBorder="1" applyAlignment="1">
      <alignment shrinkToFit="1"/>
    </xf>
    <xf numFmtId="0" fontId="175" fillId="0" borderId="9" xfId="0" applyFont="1" applyFill="1" applyBorder="1" applyAlignment="1">
      <alignment horizontal="center" shrinkToFit="1"/>
    </xf>
    <xf numFmtId="178" fontId="175" fillId="0" borderId="9" xfId="51" applyNumberFormat="1" applyFont="1" applyFill="1" applyBorder="1" applyAlignment="1">
      <alignment horizontal="center" shrinkToFit="1"/>
    </xf>
    <xf numFmtId="49" fontId="180" fillId="0" borderId="9" xfId="0" applyNumberFormat="1" applyFont="1" applyFill="1" applyBorder="1" applyAlignment="1">
      <alignment horizontal="justify" vertical="center" shrinkToFit="1"/>
    </xf>
    <xf numFmtId="178" fontId="179" fillId="0" borderId="9" xfId="51" applyNumberFormat="1" applyFont="1" applyFill="1" applyBorder="1" applyAlignment="1">
      <alignment horizontal="center" vertical="center" wrapText="1" shrinkToFit="1"/>
    </xf>
    <xf numFmtId="0" fontId="175" fillId="0" borderId="9" xfId="0" applyFont="1" applyFill="1" applyBorder="1" applyAlignment="1">
      <alignment/>
    </xf>
    <xf numFmtId="0" fontId="19" fillId="0" borderId="9" xfId="0" applyFont="1" applyFill="1" applyBorder="1" applyAlignment="1">
      <alignment horizontal="right" shrinkToFit="1"/>
    </xf>
    <xf numFmtId="179" fontId="19" fillId="0" borderId="9" xfId="0" applyNumberFormat="1" applyFont="1" applyFill="1" applyBorder="1" applyAlignment="1">
      <alignment horizontal="right" vertical="center" shrinkToFit="1"/>
    </xf>
    <xf numFmtId="2" fontId="15" fillId="0" borderId="9" xfId="0" applyNumberFormat="1" applyFont="1" applyFill="1" applyBorder="1" applyAlignment="1">
      <alignment horizontal="right" vertical="center" shrinkToFit="1"/>
    </xf>
    <xf numFmtId="0" fontId="20" fillId="0" borderId="9" xfId="0" applyFont="1" applyBorder="1" applyAlignment="1">
      <alignment horizontal="right" vertical="center"/>
    </xf>
    <xf numFmtId="0" fontId="19" fillId="0" borderId="0" xfId="0" applyFont="1" applyAlignment="1">
      <alignment horizontal="right" vertical="center"/>
    </xf>
    <xf numFmtId="177" fontId="15" fillId="0" borderId="9" xfId="0" applyNumberFormat="1" applyFont="1" applyFill="1" applyBorder="1" applyAlignment="1">
      <alignment horizontal="right" vertical="center" shrinkToFit="1"/>
    </xf>
    <xf numFmtId="1" fontId="15" fillId="0" borderId="9" xfId="0" applyNumberFormat="1" applyFont="1" applyFill="1" applyBorder="1" applyAlignment="1">
      <alignment horizontal="right" vertical="center" shrinkToFit="1"/>
    </xf>
    <xf numFmtId="49" fontId="8" fillId="0" borderId="9" xfId="0" applyNumberFormat="1" applyFont="1" applyFill="1" applyBorder="1" applyAlignment="1" quotePrefix="1">
      <alignment vertical="center" wrapText="1"/>
    </xf>
    <xf numFmtId="49" fontId="38" fillId="0" borderId="9" xfId="0" applyNumberFormat="1" applyFont="1" applyFill="1" applyBorder="1" applyAlignment="1">
      <alignment horizontal="justify" vertical="center" wrapText="1" shrinkToFit="1"/>
    </xf>
    <xf numFmtId="0" fontId="38" fillId="0" borderId="9" xfId="0" applyFont="1" applyFill="1" applyBorder="1" applyAlignment="1">
      <alignment horizontal="center" vertical="center" shrinkToFit="1"/>
    </xf>
    <xf numFmtId="49" fontId="140" fillId="0" borderId="9" xfId="0" applyNumberFormat="1" applyFont="1" applyFill="1" applyBorder="1" applyAlignment="1">
      <alignment horizontal="justify" vertical="center" wrapText="1" shrinkToFit="1"/>
    </xf>
    <xf numFmtId="0" fontId="19" fillId="0" borderId="9" xfId="0" applyFont="1" applyBorder="1" applyAlignment="1">
      <alignment vertical="center"/>
    </xf>
    <xf numFmtId="174" fontId="175" fillId="0" borderId="9" xfId="0" applyNumberFormat="1" applyFont="1" applyFill="1" applyBorder="1" applyAlignment="1">
      <alignment horizontal="right" vertical="center" shrinkToFit="1"/>
    </xf>
    <xf numFmtId="212" fontId="19" fillId="0" borderId="0" xfId="0" applyNumberFormat="1" applyFont="1" applyFill="1" applyAlignment="1">
      <alignment vertical="center"/>
    </xf>
    <xf numFmtId="2" fontId="15" fillId="0" borderId="0" xfId="0" applyNumberFormat="1" applyFont="1" applyFill="1" applyAlignment="1">
      <alignment/>
    </xf>
    <xf numFmtId="0" fontId="175" fillId="0" borderId="9" xfId="0" applyFont="1" applyFill="1" applyBorder="1" applyAlignment="1" quotePrefix="1">
      <alignment vertical="center"/>
    </xf>
    <xf numFmtId="178" fontId="15" fillId="0" borderId="9" xfId="0" applyNumberFormat="1" applyFont="1" applyFill="1" applyBorder="1" applyAlignment="1">
      <alignment horizontal="right" vertical="center" shrinkToFit="1"/>
    </xf>
    <xf numFmtId="0" fontId="181" fillId="0" borderId="9" xfId="0" applyFont="1" applyFill="1" applyBorder="1" applyAlignment="1">
      <alignment horizontal="center" vertical="center"/>
    </xf>
    <xf numFmtId="0" fontId="181" fillId="0" borderId="9" xfId="0" applyFont="1" applyFill="1" applyBorder="1" applyAlignment="1">
      <alignment vertical="center"/>
    </xf>
    <xf numFmtId="0" fontId="181" fillId="0" borderId="9" xfId="0" applyFont="1" applyFill="1" applyBorder="1" applyAlignment="1">
      <alignment horizontal="center" vertical="center" shrinkToFit="1"/>
    </xf>
    <xf numFmtId="174" fontId="181" fillId="0" borderId="9" xfId="51" applyNumberFormat="1" applyFont="1" applyFill="1" applyBorder="1" applyAlignment="1">
      <alignment horizontal="right" vertical="center" shrinkToFit="1"/>
    </xf>
    <xf numFmtId="178" fontId="181" fillId="0" borderId="9" xfId="51" applyNumberFormat="1" applyFont="1" applyFill="1" applyBorder="1" applyAlignment="1">
      <alignment horizontal="right" vertical="center" shrinkToFit="1"/>
    </xf>
    <xf numFmtId="178" fontId="182" fillId="0" borderId="9" xfId="51" applyNumberFormat="1" applyFont="1" applyFill="1" applyBorder="1" applyAlignment="1">
      <alignment horizontal="center" vertical="center" wrapText="1" shrinkToFit="1"/>
    </xf>
    <xf numFmtId="0" fontId="181" fillId="0" borderId="0" xfId="0" applyFont="1" applyFill="1" applyAlignment="1">
      <alignment vertical="center"/>
    </xf>
    <xf numFmtId="0" fontId="183" fillId="0" borderId="9" xfId="0" applyFont="1" applyFill="1" applyBorder="1" applyAlignment="1">
      <alignment horizontal="center"/>
    </xf>
    <xf numFmtId="0" fontId="183" fillId="0" borderId="9" xfId="0" applyFont="1" applyFill="1" applyBorder="1" applyAlignment="1">
      <alignment shrinkToFit="1"/>
    </xf>
    <xf numFmtId="0" fontId="183" fillId="0" borderId="9" xfId="0" applyFont="1" applyFill="1" applyBorder="1" applyAlignment="1">
      <alignment horizontal="center" shrinkToFit="1"/>
    </xf>
    <xf numFmtId="178" fontId="183" fillId="0" borderId="9" xfId="51" applyNumberFormat="1" applyFont="1" applyFill="1" applyBorder="1" applyAlignment="1">
      <alignment horizontal="right" shrinkToFit="1"/>
    </xf>
    <xf numFmtId="178" fontId="183" fillId="0" borderId="9" xfId="51" applyNumberFormat="1" applyFont="1" applyFill="1" applyBorder="1" applyAlignment="1">
      <alignment horizontal="center" shrinkToFit="1"/>
    </xf>
    <xf numFmtId="0" fontId="183" fillId="0" borderId="0" xfId="0" applyFont="1" applyFill="1" applyAlignment="1">
      <alignment/>
    </xf>
    <xf numFmtId="43" fontId="181" fillId="0" borderId="9" xfId="51" applyNumberFormat="1" applyFont="1" applyFill="1" applyBorder="1" applyAlignment="1">
      <alignment horizontal="right" vertical="center" shrinkToFit="1"/>
    </xf>
    <xf numFmtId="0" fontId="184" fillId="0" borderId="9" xfId="0" applyFont="1" applyFill="1" applyBorder="1" applyAlignment="1">
      <alignment horizontal="center" vertical="center"/>
    </xf>
    <xf numFmtId="0" fontId="184" fillId="0" borderId="9" xfId="0" applyFont="1" applyFill="1" applyBorder="1" applyAlignment="1">
      <alignment vertical="center" wrapText="1"/>
    </xf>
    <xf numFmtId="0" fontId="184" fillId="0" borderId="9" xfId="0" applyFont="1" applyFill="1" applyBorder="1" applyAlignment="1">
      <alignment horizontal="center" vertical="center" shrinkToFit="1"/>
    </xf>
    <xf numFmtId="174" fontId="184" fillId="0" borderId="9" xfId="51" applyNumberFormat="1" applyFont="1" applyFill="1" applyBorder="1" applyAlignment="1">
      <alignment horizontal="right" vertical="center" shrinkToFit="1"/>
    </xf>
    <xf numFmtId="178" fontId="184" fillId="0" borderId="9" xfId="51" applyNumberFormat="1" applyFont="1" applyFill="1" applyBorder="1" applyAlignment="1">
      <alignment horizontal="right" vertical="center" shrinkToFit="1"/>
    </xf>
    <xf numFmtId="0" fontId="184" fillId="0" borderId="0" xfId="0" applyFont="1" applyFill="1" applyAlignment="1">
      <alignment vertical="center"/>
    </xf>
    <xf numFmtId="0" fontId="181" fillId="0" borderId="9" xfId="0" applyFont="1" applyFill="1" applyBorder="1" applyAlignment="1">
      <alignment vertical="center" shrinkToFit="1"/>
    </xf>
    <xf numFmtId="179" fontId="181" fillId="0" borderId="9" xfId="0" applyNumberFormat="1" applyFont="1" applyFill="1" applyBorder="1" applyAlignment="1">
      <alignment horizontal="right" vertical="center" shrinkToFit="1"/>
    </xf>
    <xf numFmtId="199" fontId="181" fillId="0" borderId="9" xfId="51" applyNumberFormat="1" applyFont="1" applyFill="1" applyBorder="1" applyAlignment="1">
      <alignment horizontal="right" vertical="center" shrinkToFit="1"/>
    </xf>
    <xf numFmtId="0" fontId="184" fillId="0" borderId="9" xfId="0" applyFont="1" applyFill="1" applyBorder="1" applyAlignment="1">
      <alignment horizontal="center"/>
    </xf>
    <xf numFmtId="0" fontId="184" fillId="0" borderId="9" xfId="0" applyFont="1" applyFill="1" applyBorder="1" applyAlignment="1">
      <alignment/>
    </xf>
    <xf numFmtId="0" fontId="184" fillId="0" borderId="9" xfId="0" applyFont="1" applyFill="1" applyBorder="1" applyAlignment="1">
      <alignment horizontal="center" shrinkToFit="1"/>
    </xf>
    <xf numFmtId="1" fontId="181" fillId="0" borderId="9" xfId="0" applyNumberFormat="1" applyFont="1" applyFill="1" applyBorder="1" applyAlignment="1">
      <alignment horizontal="right" shrinkToFit="1"/>
    </xf>
    <xf numFmtId="1" fontId="181" fillId="0" borderId="9" xfId="0" applyNumberFormat="1" applyFont="1" applyFill="1" applyBorder="1" applyAlignment="1">
      <alignment horizontal="center" shrinkToFit="1"/>
    </xf>
    <xf numFmtId="0" fontId="181" fillId="0" borderId="0" xfId="0" applyFont="1" applyFill="1" applyAlignment="1">
      <alignment/>
    </xf>
    <xf numFmtId="0" fontId="181" fillId="0" borderId="9" xfId="0" applyFont="1" applyFill="1" applyBorder="1" applyAlignment="1" quotePrefix="1">
      <alignment vertical="center"/>
    </xf>
    <xf numFmtId="2" fontId="181" fillId="0" borderId="9" xfId="0" applyNumberFormat="1" applyFont="1" applyFill="1" applyBorder="1" applyAlignment="1">
      <alignment horizontal="right" vertical="center" shrinkToFit="1"/>
    </xf>
    <xf numFmtId="199" fontId="181" fillId="0" borderId="9" xfId="49" applyNumberFormat="1" applyFont="1" applyFill="1" applyBorder="1" applyAlignment="1">
      <alignment horizontal="right" vertical="center" shrinkToFit="1"/>
    </xf>
    <xf numFmtId="1" fontId="181" fillId="0" borderId="9" xfId="0" applyNumberFormat="1" applyFont="1" applyFill="1" applyBorder="1" applyAlignment="1">
      <alignment horizontal="right" vertical="center" shrinkToFit="1"/>
    </xf>
    <xf numFmtId="0" fontId="185" fillId="0" borderId="9" xfId="0" applyFont="1" applyFill="1" applyBorder="1" applyAlignment="1">
      <alignment horizontal="center" vertical="center"/>
    </xf>
    <xf numFmtId="0" fontId="185" fillId="0" borderId="9" xfId="0" applyFont="1" applyFill="1" applyBorder="1" applyAlignment="1" quotePrefix="1">
      <alignment vertical="center"/>
    </xf>
    <xf numFmtId="0" fontId="185" fillId="0" borderId="9" xfId="0" applyFont="1" applyFill="1" applyBorder="1" applyAlignment="1">
      <alignment horizontal="center" vertical="center" shrinkToFit="1"/>
    </xf>
    <xf numFmtId="1" fontId="181" fillId="0" borderId="9" xfId="51" applyNumberFormat="1" applyFont="1" applyFill="1" applyBorder="1" applyAlignment="1">
      <alignment horizontal="right" vertical="center" shrinkToFit="1"/>
    </xf>
    <xf numFmtId="0" fontId="184" fillId="0" borderId="9" xfId="0" applyFont="1" applyFill="1" applyBorder="1" applyAlignment="1">
      <alignment vertical="center"/>
    </xf>
    <xf numFmtId="179" fontId="184" fillId="0" borderId="9" xfId="0" applyNumberFormat="1" applyFont="1" applyFill="1" applyBorder="1" applyAlignment="1">
      <alignment horizontal="right" vertical="center" shrinkToFit="1"/>
    </xf>
    <xf numFmtId="1" fontId="184" fillId="0" borderId="9" xfId="0" applyNumberFormat="1" applyFont="1" applyFill="1" applyBorder="1" applyAlignment="1">
      <alignment horizontal="right" vertical="center" shrinkToFit="1"/>
    </xf>
    <xf numFmtId="177" fontId="184" fillId="0" borderId="9" xfId="0" applyNumberFormat="1" applyFont="1" applyFill="1" applyBorder="1" applyAlignment="1">
      <alignment horizontal="right" vertical="center" shrinkToFit="1"/>
    </xf>
    <xf numFmtId="199" fontId="184" fillId="0" borderId="9" xfId="51" applyNumberFormat="1" applyFont="1" applyFill="1" applyBorder="1" applyAlignment="1">
      <alignment horizontal="right" vertical="center" shrinkToFit="1"/>
    </xf>
    <xf numFmtId="179" fontId="184" fillId="0" borderId="9" xfId="51" applyNumberFormat="1" applyFont="1" applyFill="1" applyBorder="1" applyAlignment="1">
      <alignment horizontal="right" vertical="center" shrinkToFit="1"/>
    </xf>
    <xf numFmtId="199" fontId="184" fillId="0" borderId="9" xfId="0" applyNumberFormat="1" applyFont="1" applyFill="1" applyBorder="1" applyAlignment="1">
      <alignment horizontal="right" vertical="center" shrinkToFit="1"/>
    </xf>
    <xf numFmtId="178" fontId="184" fillId="0" borderId="9" xfId="0" applyNumberFormat="1" applyFont="1" applyFill="1" applyBorder="1" applyAlignment="1">
      <alignment horizontal="right" vertical="center" shrinkToFit="1"/>
    </xf>
    <xf numFmtId="177" fontId="181" fillId="0" borderId="9" xfId="0" applyNumberFormat="1" applyFont="1" applyFill="1" applyBorder="1" applyAlignment="1">
      <alignment horizontal="right" vertical="center" shrinkToFit="1"/>
    </xf>
    <xf numFmtId="212" fontId="184" fillId="0" borderId="0" xfId="0" applyNumberFormat="1" applyFont="1" applyFill="1" applyAlignment="1">
      <alignment vertical="center"/>
    </xf>
    <xf numFmtId="178" fontId="71" fillId="0" borderId="9" xfId="51" applyNumberFormat="1" applyFont="1" applyFill="1" applyBorder="1" applyAlignment="1">
      <alignment horizontal="center" vertical="center" wrapText="1" shrinkToFit="1"/>
    </xf>
    <xf numFmtId="0" fontId="186" fillId="0" borderId="9" xfId="0" applyFont="1" applyFill="1" applyBorder="1" applyAlignment="1">
      <alignment horizontal="center" vertical="center" shrinkToFit="1"/>
    </xf>
    <xf numFmtId="178" fontId="182" fillId="0" borderId="9" xfId="51" applyNumberFormat="1" applyFont="1" applyFill="1" applyBorder="1" applyAlignment="1">
      <alignment horizontal="center" vertical="center" wrapText="1" shrinkToFit="1"/>
    </xf>
    <xf numFmtId="0" fontId="181" fillId="0" borderId="9" xfId="0" applyFont="1" applyFill="1" applyBorder="1" applyAlignment="1">
      <alignment vertical="center" wrapText="1"/>
    </xf>
    <xf numFmtId="178" fontId="181" fillId="0" borderId="9" xfId="0" applyNumberFormat="1" applyFont="1" applyFill="1" applyBorder="1" applyAlignment="1">
      <alignment horizontal="right" vertical="center" shrinkToFit="1"/>
    </xf>
    <xf numFmtId="0" fontId="187" fillId="0" borderId="9" xfId="0" applyFont="1" applyFill="1" applyBorder="1" applyAlignment="1">
      <alignment vertical="center" wrapText="1"/>
    </xf>
    <xf numFmtId="2" fontId="181" fillId="0" borderId="9" xfId="0" applyNumberFormat="1" applyFont="1" applyFill="1" applyBorder="1" applyAlignment="1">
      <alignment horizontal="right" shrinkToFit="1"/>
    </xf>
    <xf numFmtId="2" fontId="184" fillId="0" borderId="0" xfId="0" applyNumberFormat="1" applyFont="1" applyFill="1" applyAlignment="1">
      <alignment/>
    </xf>
    <xf numFmtId="0" fontId="184" fillId="0" borderId="0" xfId="0" applyFont="1" applyFill="1" applyAlignment="1">
      <alignment/>
    </xf>
    <xf numFmtId="0" fontId="188" fillId="0" borderId="9" xfId="0" applyFont="1" applyFill="1" applyBorder="1" applyAlignment="1">
      <alignment horizontal="center" vertical="center"/>
    </xf>
    <xf numFmtId="0" fontId="188" fillId="0" borderId="9" xfId="0" applyFont="1" applyFill="1" applyBorder="1" applyAlignment="1">
      <alignment horizontal="center" vertical="center" shrinkToFit="1"/>
    </xf>
    <xf numFmtId="178" fontId="189" fillId="0" borderId="9" xfId="51" applyNumberFormat="1" applyFont="1" applyFill="1" applyBorder="1" applyAlignment="1">
      <alignment horizontal="center" vertical="center" wrapText="1" shrinkToFit="1"/>
    </xf>
    <xf numFmtId="0" fontId="188" fillId="0" borderId="0" xfId="0" applyFont="1" applyFill="1" applyAlignment="1">
      <alignment vertical="center"/>
    </xf>
    <xf numFmtId="0" fontId="19" fillId="0" borderId="0" xfId="0" applyFont="1" applyFill="1" applyAlignment="1">
      <alignment horizontal="right" vertical="center"/>
    </xf>
    <xf numFmtId="178" fontId="15" fillId="0" borderId="9" xfId="51" applyNumberFormat="1" applyFont="1" applyFill="1" applyBorder="1" applyAlignment="1">
      <alignment horizontal="center" vertical="center" wrapText="1" shrinkToFit="1"/>
    </xf>
    <xf numFmtId="178" fontId="19" fillId="0" borderId="9" xfId="51" applyNumberFormat="1" applyFont="1" applyFill="1" applyBorder="1" applyAlignment="1">
      <alignment horizontal="center" vertical="center" wrapText="1" shrinkToFit="1"/>
    </xf>
    <xf numFmtId="178" fontId="19" fillId="0" borderId="9" xfId="51" applyNumberFormat="1" applyFont="1" applyFill="1" applyBorder="1" applyAlignment="1">
      <alignment horizontal="center" vertical="center" wrapText="1" shrinkToFit="1"/>
    </xf>
    <xf numFmtId="177" fontId="19" fillId="0" borderId="9" xfId="0" applyNumberFormat="1" applyFont="1" applyFill="1" applyBorder="1" applyAlignment="1">
      <alignment horizontal="center" vertical="center" wrapText="1" shrinkToFit="1"/>
    </xf>
    <xf numFmtId="0" fontId="34" fillId="0" borderId="9" xfId="0" applyFont="1" applyFill="1" applyBorder="1" applyAlignment="1">
      <alignment horizontal="center"/>
    </xf>
    <xf numFmtId="0" fontId="34" fillId="0" borderId="9" xfId="0" applyFont="1" applyFill="1" applyBorder="1" applyAlignment="1">
      <alignment shrinkToFit="1"/>
    </xf>
    <xf numFmtId="0" fontId="34" fillId="0" borderId="9" xfId="0" applyFont="1" applyFill="1" applyBorder="1" applyAlignment="1">
      <alignment horizontal="center" shrinkToFit="1"/>
    </xf>
    <xf numFmtId="178" fontId="34" fillId="0" borderId="9" xfId="51" applyNumberFormat="1" applyFont="1" applyFill="1" applyBorder="1" applyAlignment="1">
      <alignment horizontal="right" shrinkToFit="1"/>
    </xf>
    <xf numFmtId="178" fontId="34" fillId="0" borderId="9" xfId="51" applyNumberFormat="1" applyFont="1" applyFill="1" applyBorder="1" applyAlignment="1">
      <alignment horizontal="center" shrinkToFit="1"/>
    </xf>
    <xf numFmtId="0" fontId="34" fillId="0" borderId="0" xfId="0" applyFont="1" applyFill="1" applyAlignment="1">
      <alignment/>
    </xf>
    <xf numFmtId="49" fontId="140" fillId="0" borderId="9" xfId="0" applyNumberFormat="1" applyFont="1" applyFill="1" applyBorder="1" applyAlignment="1">
      <alignment horizontal="justify" vertical="center" shrinkToFit="1"/>
    </xf>
    <xf numFmtId="177" fontId="19" fillId="0" borderId="9" xfId="0" applyNumberFormat="1" applyFont="1" applyFill="1" applyBorder="1" applyAlignment="1">
      <alignment horizontal="right" shrinkToFit="1"/>
    </xf>
    <xf numFmtId="0" fontId="19" fillId="0" borderId="9" xfId="0" applyFont="1" applyFill="1" applyBorder="1" applyAlignment="1" quotePrefix="1">
      <alignment vertical="center"/>
    </xf>
    <xf numFmtId="199" fontId="19" fillId="0" borderId="9" xfId="49" applyNumberFormat="1" applyFont="1" applyFill="1" applyBorder="1" applyAlignment="1">
      <alignment horizontal="right" vertical="center" shrinkToFit="1"/>
    </xf>
    <xf numFmtId="1" fontId="19" fillId="0" borderId="9" xfId="51" applyNumberFormat="1" applyFont="1" applyFill="1" applyBorder="1" applyAlignment="1">
      <alignment horizontal="right" vertical="center" shrinkToFit="1"/>
    </xf>
    <xf numFmtId="177" fontId="15" fillId="0" borderId="9" xfId="49" applyNumberFormat="1" applyFont="1" applyFill="1" applyBorder="1" applyAlignment="1">
      <alignment horizontal="right" vertical="center" shrinkToFit="1"/>
    </xf>
    <xf numFmtId="177" fontId="15" fillId="0" borderId="9" xfId="49" applyNumberFormat="1" applyFont="1" applyFill="1" applyBorder="1" applyAlignment="1">
      <alignment horizontal="right" shrinkToFit="1"/>
    </xf>
    <xf numFmtId="174" fontId="19" fillId="0" borderId="9" xfId="49" applyNumberFormat="1" applyFont="1" applyFill="1" applyBorder="1" applyAlignment="1">
      <alignment horizontal="right" vertical="center" shrinkToFit="1"/>
    </xf>
    <xf numFmtId="4" fontId="19" fillId="0" borderId="0" xfId="0" applyNumberFormat="1" applyFont="1" applyFill="1" applyAlignment="1">
      <alignment/>
    </xf>
    <xf numFmtId="0" fontId="15" fillId="0" borderId="0" xfId="0" applyFont="1" applyFill="1" applyAlignment="1">
      <alignment horizontal="center"/>
    </xf>
    <xf numFmtId="174" fontId="19" fillId="0" borderId="9" xfId="0" applyNumberFormat="1" applyFont="1" applyFill="1" applyBorder="1" applyAlignment="1">
      <alignment horizontal="right" vertical="center" shrinkToFit="1"/>
    </xf>
    <xf numFmtId="174" fontId="15" fillId="0" borderId="9" xfId="51" applyNumberFormat="1" applyFont="1" applyFill="1" applyBorder="1" applyAlignment="1">
      <alignment horizontal="right" vertical="center" shrinkToFit="1"/>
    </xf>
    <xf numFmtId="219" fontId="15" fillId="0" borderId="0" xfId="100" applyNumberFormat="1" applyFont="1" applyFill="1" applyAlignment="1">
      <alignment vertical="center"/>
    </xf>
    <xf numFmtId="213" fontId="15" fillId="0" borderId="0" xfId="0" applyNumberFormat="1" applyFont="1" applyFill="1" applyAlignment="1">
      <alignment vertical="center"/>
    </xf>
    <xf numFmtId="49" fontId="19" fillId="0" borderId="9" xfId="0" applyNumberFormat="1" applyFont="1" applyFill="1" applyBorder="1" applyAlignment="1">
      <alignment horizontal="justify" vertical="center" wrapText="1" shrinkToFit="1"/>
    </xf>
    <xf numFmtId="43" fontId="15" fillId="0" borderId="0" xfId="0" applyNumberFormat="1" applyFont="1" applyFill="1" applyAlignment="1">
      <alignment vertical="center"/>
    </xf>
    <xf numFmtId="3" fontId="68" fillId="0" borderId="0" xfId="0" applyNumberFormat="1" applyFont="1" applyFill="1" applyAlignment="1">
      <alignment/>
    </xf>
    <xf numFmtId="43" fontId="19" fillId="0" borderId="9" xfId="51" applyFont="1" applyFill="1" applyBorder="1" applyAlignment="1">
      <alignment horizontal="center" vertical="center" shrinkToFit="1"/>
    </xf>
    <xf numFmtId="178" fontId="19" fillId="0" borderId="9" xfId="51" applyNumberFormat="1" applyFont="1" applyFill="1" applyBorder="1" applyAlignment="1">
      <alignment horizontal="center" vertical="center" shrinkToFit="1"/>
    </xf>
    <xf numFmtId="177" fontId="19" fillId="0" borderId="9" xfId="0" applyNumberFormat="1" applyFont="1" applyFill="1" applyBorder="1" applyAlignment="1">
      <alignment horizontal="right" vertical="center" shrinkToFit="1"/>
    </xf>
    <xf numFmtId="178" fontId="9" fillId="0" borderId="9" xfId="51" applyNumberFormat="1" applyFont="1" applyFill="1" applyBorder="1" applyAlignment="1">
      <alignment horizontal="center" vertical="center" wrapText="1" shrinkToFit="1"/>
    </xf>
    <xf numFmtId="178" fontId="19" fillId="0" borderId="9" xfId="49" applyNumberFormat="1" applyFont="1" applyFill="1" applyBorder="1" applyAlignment="1">
      <alignment horizontal="right" vertical="center" shrinkToFit="1"/>
    </xf>
    <xf numFmtId="43" fontId="15" fillId="0" borderId="9" xfId="49" applyNumberFormat="1" applyFont="1" applyFill="1" applyBorder="1" applyAlignment="1">
      <alignment horizontal="right" vertical="center" shrinkToFit="1"/>
    </xf>
    <xf numFmtId="43" fontId="19" fillId="0" borderId="9" xfId="49" applyNumberFormat="1" applyFont="1" applyFill="1" applyBorder="1" applyAlignment="1">
      <alignment horizontal="right" vertical="center" shrinkToFit="1"/>
    </xf>
    <xf numFmtId="0" fontId="19" fillId="0" borderId="9" xfId="0" applyFont="1" applyFill="1" applyBorder="1" applyAlignment="1" quotePrefix="1">
      <alignment horizontal="left" vertical="center" wrapText="1" shrinkToFit="1"/>
    </xf>
    <xf numFmtId="199" fontId="15" fillId="0" borderId="9" xfId="49" applyNumberFormat="1" applyFont="1" applyFill="1" applyBorder="1" applyAlignment="1">
      <alignment horizontal="right" vertical="center" shrinkToFit="1"/>
    </xf>
    <xf numFmtId="218" fontId="15" fillId="0" borderId="0" xfId="0" applyNumberFormat="1" applyFont="1" applyFill="1" applyAlignment="1">
      <alignment/>
    </xf>
    <xf numFmtId="0" fontId="15" fillId="0" borderId="24" xfId="0" applyFont="1" applyFill="1" applyBorder="1" applyAlignment="1">
      <alignment horizontal="center" vertical="center"/>
    </xf>
    <xf numFmtId="0" fontId="58" fillId="0" borderId="24" xfId="0" applyFont="1" applyFill="1" applyBorder="1" applyAlignment="1">
      <alignment vertical="center" wrapText="1" shrinkToFit="1"/>
    </xf>
    <xf numFmtId="0" fontId="15" fillId="0" borderId="24" xfId="0" applyFont="1" applyFill="1" applyBorder="1" applyAlignment="1">
      <alignment horizontal="center" vertical="center" shrinkToFit="1"/>
    </xf>
    <xf numFmtId="43" fontId="15" fillId="0" borderId="24" xfId="51" applyNumberFormat="1" applyFont="1" applyFill="1" applyBorder="1" applyAlignment="1">
      <alignment horizontal="right" vertical="center" wrapText="1" shrinkToFit="1"/>
    </xf>
    <xf numFmtId="43" fontId="15" fillId="0" borderId="24" xfId="51" applyNumberFormat="1" applyFont="1" applyFill="1" applyBorder="1" applyAlignment="1">
      <alignment horizontal="right" vertical="center" shrinkToFit="1"/>
    </xf>
    <xf numFmtId="178" fontId="18" fillId="0" borderId="24" xfId="51" applyNumberFormat="1" applyFont="1" applyFill="1" applyBorder="1" applyAlignment="1">
      <alignment horizontal="center" vertical="center" wrapText="1" shrinkToFit="1"/>
    </xf>
    <xf numFmtId="0" fontId="15" fillId="0" borderId="37" xfId="0" applyFont="1" applyFill="1" applyBorder="1" applyAlignment="1">
      <alignment horizontal="center" vertical="center" shrinkToFit="1"/>
    </xf>
    <xf numFmtId="178" fontId="15" fillId="0" borderId="37" xfId="51" applyNumberFormat="1" applyFont="1" applyFill="1" applyBorder="1" applyAlignment="1">
      <alignment horizontal="right" vertical="center" shrinkToFit="1"/>
    </xf>
    <xf numFmtId="43" fontId="15" fillId="0" borderId="37" xfId="51" applyNumberFormat="1" applyFont="1" applyFill="1" applyBorder="1" applyAlignment="1">
      <alignment horizontal="right" vertical="center" shrinkToFit="1"/>
    </xf>
    <xf numFmtId="178" fontId="113" fillId="0" borderId="37" xfId="51" applyNumberFormat="1" applyFont="1" applyFill="1" applyBorder="1" applyAlignment="1">
      <alignment horizontal="center" vertical="center" wrapText="1" shrinkToFit="1"/>
    </xf>
    <xf numFmtId="0" fontId="19" fillId="37" borderId="0" xfId="0" applyFont="1" applyFill="1" applyAlignment="1">
      <alignment vertical="center"/>
    </xf>
    <xf numFmtId="0" fontId="140" fillId="0" borderId="9" xfId="0" applyFont="1" applyFill="1" applyBorder="1" applyAlignment="1">
      <alignment horizontal="center" vertical="center"/>
    </xf>
    <xf numFmtId="0" fontId="140" fillId="0" borderId="9" xfId="0" applyFont="1" applyFill="1" applyBorder="1" applyAlignment="1">
      <alignment horizontal="center" vertical="center" shrinkToFit="1"/>
    </xf>
    <xf numFmtId="0" fontId="150" fillId="0" borderId="0" xfId="0" applyFont="1" applyFill="1" applyAlignment="1">
      <alignment vertical="center"/>
    </xf>
    <xf numFmtId="0" fontId="140" fillId="0" borderId="0" xfId="0" applyFont="1" applyFill="1" applyAlignment="1">
      <alignment vertical="center"/>
    </xf>
    <xf numFmtId="0" fontId="70" fillId="37" borderId="0" xfId="0" applyFont="1" applyFill="1" applyAlignment="1">
      <alignment vertical="center"/>
    </xf>
    <xf numFmtId="179" fontId="15" fillId="0" borderId="9" xfId="0" applyNumberFormat="1" applyFont="1" applyFill="1" applyBorder="1" applyAlignment="1">
      <alignment horizontal="right" vertical="center" shrinkToFit="1"/>
    </xf>
    <xf numFmtId="178" fontId="9" fillId="0" borderId="9" xfId="51" applyNumberFormat="1" applyFont="1" applyFill="1" applyBorder="1" applyAlignment="1">
      <alignment horizontal="center" vertical="center" wrapText="1" shrinkToFit="1"/>
    </xf>
    <xf numFmtId="199" fontId="15" fillId="0" borderId="9" xfId="51" applyNumberFormat="1" applyFont="1" applyFill="1" applyBorder="1" applyAlignment="1">
      <alignment horizontal="right" vertical="center" shrinkToFit="1"/>
    </xf>
    <xf numFmtId="3" fontId="19" fillId="0" borderId="0" xfId="0" applyNumberFormat="1" applyFont="1" applyFill="1" applyAlignment="1">
      <alignment vertical="center"/>
    </xf>
    <xf numFmtId="0" fontId="34" fillId="0" borderId="0" xfId="0" applyFont="1" applyFill="1" applyAlignment="1">
      <alignment vertical="center"/>
    </xf>
    <xf numFmtId="43" fontId="15" fillId="0" borderId="0" xfId="0" applyNumberFormat="1" applyFont="1" applyFill="1" applyAlignment="1">
      <alignment/>
    </xf>
    <xf numFmtId="0" fontId="19" fillId="36" borderId="0" xfId="0" applyFont="1" applyFill="1" applyAlignment="1">
      <alignment vertical="center"/>
    </xf>
    <xf numFmtId="0" fontId="19" fillId="36" borderId="0" xfId="0" applyFont="1" applyFill="1" applyAlignment="1">
      <alignment vertical="center" wrapText="1"/>
    </xf>
    <xf numFmtId="0" fontId="19" fillId="36" borderId="0" xfId="0" applyFont="1" applyFill="1" applyAlignment="1">
      <alignment horizontal="center" vertical="center" wrapText="1"/>
    </xf>
    <xf numFmtId="0" fontId="19" fillId="36" borderId="0" xfId="0" applyFont="1" applyFill="1" applyAlignment="1">
      <alignment horizontal="right" vertical="center" wrapText="1"/>
    </xf>
    <xf numFmtId="0" fontId="19" fillId="36" borderId="0" xfId="0" applyFont="1" applyFill="1" applyAlignment="1">
      <alignment horizontal="right" vertical="center"/>
    </xf>
    <xf numFmtId="0" fontId="15" fillId="36" borderId="0" xfId="0" applyFont="1" applyFill="1" applyAlignment="1">
      <alignment horizontal="right" vertical="center"/>
    </xf>
    <xf numFmtId="0" fontId="15" fillId="36" borderId="0" xfId="0" applyFont="1" applyFill="1" applyAlignment="1">
      <alignment horizontal="center" vertical="center"/>
    </xf>
    <xf numFmtId="0" fontId="19" fillId="36" borderId="0" xfId="0" applyFont="1" applyFill="1" applyAlignment="1">
      <alignment horizontal="center"/>
    </xf>
    <xf numFmtId="0" fontId="19" fillId="36" borderId="0" xfId="0" applyFont="1" applyFill="1" applyAlignment="1">
      <alignment horizontal="right"/>
    </xf>
    <xf numFmtId="178" fontId="15" fillId="36" borderId="9" xfId="0" applyNumberFormat="1" applyFont="1" applyFill="1" applyBorder="1" applyAlignment="1">
      <alignment horizontal="right" vertical="center" shrinkToFit="1"/>
    </xf>
    <xf numFmtId="174" fontId="15" fillId="36" borderId="9" xfId="0" applyNumberFormat="1" applyFont="1" applyFill="1" applyBorder="1" applyAlignment="1">
      <alignment horizontal="right" vertical="center" shrinkToFit="1"/>
    </xf>
    <xf numFmtId="178" fontId="15" fillId="36" borderId="9" xfId="51" applyNumberFormat="1" applyFont="1" applyFill="1" applyBorder="1" applyAlignment="1">
      <alignment horizontal="center" vertical="center" wrapText="1" shrinkToFit="1"/>
    </xf>
    <xf numFmtId="0" fontId="19" fillId="36" borderId="9" xfId="0" applyFont="1" applyFill="1" applyBorder="1" applyAlignment="1">
      <alignment vertical="center"/>
    </xf>
    <xf numFmtId="174" fontId="19" fillId="36" borderId="9" xfId="51" applyNumberFormat="1" applyFont="1" applyFill="1" applyBorder="1" applyAlignment="1">
      <alignment horizontal="right" vertical="center" shrinkToFit="1"/>
    </xf>
    <xf numFmtId="174" fontId="19" fillId="36" borderId="9" xfId="0" applyNumberFormat="1" applyFont="1" applyFill="1" applyBorder="1" applyAlignment="1">
      <alignment horizontal="right" vertical="center" shrinkToFit="1"/>
    </xf>
    <xf numFmtId="178" fontId="19" fillId="36" borderId="9" xfId="51" applyNumberFormat="1" applyFont="1" applyFill="1" applyBorder="1" applyAlignment="1">
      <alignment horizontal="center" vertical="center" wrapText="1" shrinkToFit="1"/>
    </xf>
    <xf numFmtId="3" fontId="68" fillId="36" borderId="0" xfId="0" applyNumberFormat="1" applyFont="1" applyFill="1" applyAlignment="1">
      <alignment/>
    </xf>
    <xf numFmtId="175" fontId="68" fillId="36" borderId="0" xfId="0" applyNumberFormat="1" applyFont="1" applyFill="1" applyAlignment="1">
      <alignment/>
    </xf>
    <xf numFmtId="0" fontId="34" fillId="36" borderId="9" xfId="0" applyFont="1" applyFill="1" applyBorder="1" applyAlignment="1">
      <alignment horizontal="center"/>
    </xf>
    <xf numFmtId="0" fontId="34" fillId="36" borderId="9" xfId="0" applyFont="1" applyFill="1" applyBorder="1" applyAlignment="1">
      <alignment shrinkToFit="1"/>
    </xf>
    <xf numFmtId="0" fontId="34" fillId="36" borderId="9" xfId="0" applyFont="1" applyFill="1" applyBorder="1" applyAlignment="1">
      <alignment horizontal="center" shrinkToFit="1"/>
    </xf>
    <xf numFmtId="178" fontId="34" fillId="36" borderId="9" xfId="51" applyNumberFormat="1" applyFont="1" applyFill="1" applyBorder="1" applyAlignment="1">
      <alignment horizontal="right" shrinkToFit="1"/>
    </xf>
    <xf numFmtId="178" fontId="34" fillId="36" borderId="9" xfId="51" applyNumberFormat="1" applyFont="1" applyFill="1" applyBorder="1" applyAlignment="1">
      <alignment horizontal="center" shrinkToFit="1"/>
    </xf>
    <xf numFmtId="0" fontId="34" fillId="36" borderId="0" xfId="0" applyFont="1" applyFill="1" applyAlignment="1">
      <alignment/>
    </xf>
    <xf numFmtId="43" fontId="19" fillId="36" borderId="9" xfId="51" applyNumberFormat="1" applyFont="1" applyFill="1" applyBorder="1" applyAlignment="1">
      <alignment horizontal="right" vertical="center" shrinkToFit="1"/>
    </xf>
    <xf numFmtId="0" fontId="15" fillId="36" borderId="9" xfId="0" applyFont="1" applyFill="1" applyBorder="1" applyAlignment="1">
      <alignment horizontal="left" vertical="center" wrapText="1"/>
    </xf>
    <xf numFmtId="174" fontId="15" fillId="36" borderId="9" xfId="51" applyNumberFormat="1" applyFont="1" applyFill="1" applyBorder="1" applyAlignment="1">
      <alignment horizontal="center" vertical="center" shrinkToFit="1"/>
    </xf>
    <xf numFmtId="43" fontId="19" fillId="36" borderId="9" xfId="51" applyNumberFormat="1" applyFont="1" applyFill="1" applyBorder="1" applyAlignment="1">
      <alignment horizontal="right" shrinkToFit="1"/>
    </xf>
    <xf numFmtId="43" fontId="19" fillId="36" borderId="9" xfId="51" applyNumberFormat="1" applyFont="1" applyFill="1" applyBorder="1" applyAlignment="1">
      <alignment shrinkToFit="1"/>
    </xf>
    <xf numFmtId="174" fontId="19" fillId="36" borderId="9" xfId="51" applyNumberFormat="1" applyFont="1" applyFill="1" applyBorder="1" applyAlignment="1">
      <alignment horizontal="center" vertical="center" shrinkToFit="1"/>
    </xf>
    <xf numFmtId="178" fontId="15" fillId="36" borderId="9" xfId="51" applyNumberFormat="1" applyFont="1" applyFill="1" applyBorder="1" applyAlignment="1">
      <alignment horizontal="right" vertical="center" shrinkToFit="1"/>
    </xf>
    <xf numFmtId="174" fontId="15" fillId="36" borderId="9" xfId="51" applyNumberFormat="1" applyFont="1" applyFill="1" applyBorder="1" applyAlignment="1">
      <alignment horizontal="right" vertical="center" shrinkToFit="1"/>
    </xf>
    <xf numFmtId="199" fontId="19" fillId="36" borderId="9" xfId="51" applyNumberFormat="1" applyFont="1" applyFill="1" applyBorder="1" applyAlignment="1">
      <alignment horizontal="right" vertical="center" shrinkToFit="1"/>
    </xf>
    <xf numFmtId="43" fontId="19" fillId="36" borderId="9" xfId="51" applyFont="1" applyFill="1" applyBorder="1" applyAlignment="1">
      <alignment horizontal="center" vertical="center" shrinkToFit="1"/>
    </xf>
    <xf numFmtId="0" fontId="19" fillId="36" borderId="9" xfId="0" applyFont="1" applyFill="1" applyBorder="1" applyAlignment="1">
      <alignment vertical="center" shrinkToFit="1"/>
    </xf>
    <xf numFmtId="178" fontId="19" fillId="36" borderId="9" xfId="49" applyNumberFormat="1" applyFont="1" applyFill="1" applyBorder="1" applyAlignment="1">
      <alignment horizontal="right" vertical="center" shrinkToFit="1"/>
    </xf>
    <xf numFmtId="1" fontId="19" fillId="36" borderId="9" xfId="51" applyNumberFormat="1" applyFont="1" applyFill="1" applyBorder="1" applyAlignment="1">
      <alignment horizontal="right" vertical="center" shrinkToFit="1"/>
    </xf>
    <xf numFmtId="178" fontId="19" fillId="36" borderId="9" xfId="51" applyNumberFormat="1" applyFont="1" applyFill="1" applyBorder="1" applyAlignment="1">
      <alignment horizontal="center" vertical="center" wrapText="1" shrinkToFit="1"/>
    </xf>
    <xf numFmtId="178" fontId="19" fillId="36" borderId="9" xfId="51" applyNumberFormat="1" applyFont="1" applyFill="1" applyBorder="1" applyAlignment="1">
      <alignment horizontal="center" vertical="center" shrinkToFit="1"/>
    </xf>
    <xf numFmtId="177" fontId="19" fillId="36" borderId="9" xfId="0" applyNumberFormat="1" applyFont="1" applyFill="1" applyBorder="1" applyAlignment="1">
      <alignment horizontal="right" vertical="center" shrinkToFit="1"/>
    </xf>
    <xf numFmtId="2" fontId="15" fillId="36" borderId="9" xfId="0" applyNumberFormat="1" applyFont="1" applyFill="1" applyBorder="1" applyAlignment="1">
      <alignment horizontal="right" vertical="center" shrinkToFit="1"/>
    </xf>
    <xf numFmtId="179" fontId="15" fillId="36" borderId="9" xfId="0" applyNumberFormat="1" applyFont="1" applyFill="1" applyBorder="1" applyAlignment="1">
      <alignment horizontal="right" vertical="center" shrinkToFit="1"/>
    </xf>
    <xf numFmtId="199" fontId="15" fillId="36" borderId="9" xfId="49" applyNumberFormat="1" applyFont="1" applyFill="1" applyBorder="1" applyAlignment="1">
      <alignment horizontal="right" vertical="center" shrinkToFit="1"/>
    </xf>
    <xf numFmtId="178" fontId="9" fillId="36" borderId="9" xfId="51" applyNumberFormat="1" applyFont="1" applyFill="1" applyBorder="1" applyAlignment="1">
      <alignment horizontal="center" vertical="center" wrapText="1" shrinkToFit="1"/>
    </xf>
    <xf numFmtId="199" fontId="15" fillId="36" borderId="9" xfId="51" applyNumberFormat="1" applyFont="1" applyFill="1" applyBorder="1" applyAlignment="1">
      <alignment horizontal="right" vertical="center" shrinkToFit="1"/>
    </xf>
    <xf numFmtId="178" fontId="15" fillId="36" borderId="9" xfId="51" applyNumberFormat="1" applyFont="1" applyFill="1" applyBorder="1" applyAlignment="1">
      <alignment horizontal="right" shrinkToFit="1"/>
    </xf>
    <xf numFmtId="199" fontId="15" fillId="36" borderId="9" xfId="0" applyNumberFormat="1" applyFont="1" applyFill="1" applyBorder="1" applyAlignment="1">
      <alignment horizontal="right" vertical="center" shrinkToFit="1"/>
    </xf>
    <xf numFmtId="43" fontId="15" fillId="36" borderId="9" xfId="49" applyNumberFormat="1" applyFont="1" applyFill="1" applyBorder="1" applyAlignment="1">
      <alignment horizontal="right" vertical="center" shrinkToFit="1"/>
    </xf>
    <xf numFmtId="43" fontId="19" fillId="36" borderId="9" xfId="49" applyNumberFormat="1" applyFont="1" applyFill="1" applyBorder="1" applyAlignment="1">
      <alignment horizontal="right" vertical="center" shrinkToFit="1"/>
    </xf>
    <xf numFmtId="179" fontId="19" fillId="36" borderId="9" xfId="0" applyNumberFormat="1" applyFont="1" applyFill="1" applyBorder="1" applyAlignment="1">
      <alignment horizontal="right" vertical="center" shrinkToFit="1"/>
    </xf>
    <xf numFmtId="199" fontId="19" fillId="36" borderId="9" xfId="49" applyNumberFormat="1" applyFont="1" applyFill="1" applyBorder="1" applyAlignment="1">
      <alignment horizontal="right" vertical="center" shrinkToFit="1"/>
    </xf>
    <xf numFmtId="1" fontId="19" fillId="36" borderId="9" xfId="0" applyNumberFormat="1" applyFont="1" applyFill="1" applyBorder="1" applyAlignment="1">
      <alignment horizontal="right" vertical="center" shrinkToFit="1"/>
    </xf>
    <xf numFmtId="177" fontId="19" fillId="36" borderId="9" xfId="0" applyNumberFormat="1" applyFont="1" applyFill="1" applyBorder="1" applyAlignment="1">
      <alignment horizontal="right" vertical="center" shrinkToFit="1"/>
    </xf>
    <xf numFmtId="1" fontId="19" fillId="36" borderId="9" xfId="0" applyNumberFormat="1" applyFont="1" applyFill="1" applyBorder="1" applyAlignment="1">
      <alignment horizontal="right" vertical="center" shrinkToFit="1"/>
    </xf>
    <xf numFmtId="2" fontId="19" fillId="36" borderId="9" xfId="0" applyNumberFormat="1" applyFont="1" applyFill="1" applyBorder="1" applyAlignment="1">
      <alignment horizontal="right" vertical="center" shrinkToFit="1"/>
    </xf>
    <xf numFmtId="0" fontId="15" fillId="36" borderId="24" xfId="0" applyFont="1" applyFill="1" applyBorder="1" applyAlignment="1">
      <alignment horizontal="center" vertical="center"/>
    </xf>
    <xf numFmtId="0" fontId="58" fillId="36" borderId="24" xfId="0" applyFont="1" applyFill="1" applyBorder="1" applyAlignment="1">
      <alignment vertical="center" wrapText="1" shrinkToFit="1"/>
    </xf>
    <xf numFmtId="0" fontId="15" fillId="36" borderId="24" xfId="0" applyFont="1" applyFill="1" applyBorder="1" applyAlignment="1">
      <alignment horizontal="center" vertical="center" shrinkToFit="1"/>
    </xf>
    <xf numFmtId="43" fontId="15" fillId="36" borderId="24" xfId="51" applyNumberFormat="1" applyFont="1" applyFill="1" applyBorder="1" applyAlignment="1">
      <alignment horizontal="right" vertical="center" shrinkToFit="1"/>
    </xf>
    <xf numFmtId="174" fontId="19" fillId="36" borderId="24" xfId="0" applyNumberFormat="1" applyFont="1" applyFill="1" applyBorder="1" applyAlignment="1">
      <alignment horizontal="right" vertical="center" shrinkToFit="1"/>
    </xf>
    <xf numFmtId="178" fontId="18" fillId="36" borderId="24" xfId="51" applyNumberFormat="1" applyFont="1" applyFill="1" applyBorder="1" applyAlignment="1">
      <alignment horizontal="center" vertical="center" wrapText="1" shrinkToFit="1"/>
    </xf>
    <xf numFmtId="0" fontId="15" fillId="36" borderId="37" xfId="0" applyFont="1" applyFill="1" applyBorder="1" applyAlignment="1">
      <alignment horizontal="center" vertical="center"/>
    </xf>
    <xf numFmtId="0" fontId="15" fillId="36" borderId="37" xfId="0" applyFont="1" applyFill="1" applyBorder="1" applyAlignment="1">
      <alignment horizontal="center" vertical="center" shrinkToFit="1"/>
    </xf>
    <xf numFmtId="43" fontId="15" fillId="36" borderId="37" xfId="51" applyNumberFormat="1" applyFont="1" applyFill="1" applyBorder="1" applyAlignment="1">
      <alignment horizontal="right" vertical="center" shrinkToFit="1"/>
    </xf>
    <xf numFmtId="178" fontId="15" fillId="36" borderId="37" xfId="51" applyNumberFormat="1" applyFont="1" applyFill="1" applyBorder="1" applyAlignment="1">
      <alignment horizontal="right" vertical="center" shrinkToFit="1"/>
    </xf>
    <xf numFmtId="178" fontId="113" fillId="36" borderId="37" xfId="51" applyNumberFormat="1" applyFont="1" applyFill="1" applyBorder="1" applyAlignment="1">
      <alignment horizontal="center" vertical="center" wrapText="1" shrinkToFit="1"/>
    </xf>
    <xf numFmtId="219" fontId="15" fillId="36" borderId="0" xfId="100" applyNumberFormat="1" applyFont="1" applyFill="1" applyAlignment="1">
      <alignment vertical="center"/>
    </xf>
    <xf numFmtId="178" fontId="19" fillId="36" borderId="9" xfId="51" applyNumberFormat="1" applyFont="1" applyFill="1" applyBorder="1" applyAlignment="1">
      <alignment horizontal="center" shrinkToFit="1"/>
    </xf>
    <xf numFmtId="4" fontId="19" fillId="36" borderId="0" xfId="0" applyNumberFormat="1" applyFont="1" applyFill="1" applyAlignment="1">
      <alignment/>
    </xf>
    <xf numFmtId="3" fontId="19" fillId="36" borderId="0" xfId="0" applyNumberFormat="1" applyFont="1" applyFill="1" applyAlignment="1">
      <alignment vertical="center"/>
    </xf>
    <xf numFmtId="178" fontId="19" fillId="36" borderId="9" xfId="51" applyNumberFormat="1" applyFont="1" applyFill="1" applyBorder="1" applyAlignment="1">
      <alignment horizontal="center" vertical="center" shrinkToFit="1"/>
    </xf>
    <xf numFmtId="213" fontId="15" fillId="36" borderId="0" xfId="0" applyNumberFormat="1" applyFont="1" applyFill="1" applyAlignment="1">
      <alignment vertical="center"/>
    </xf>
    <xf numFmtId="0" fontId="140" fillId="36" borderId="9" xfId="0" applyFont="1" applyFill="1" applyBorder="1" applyAlignment="1">
      <alignment horizontal="center" vertical="center"/>
    </xf>
    <xf numFmtId="0" fontId="140" fillId="36" borderId="9" xfId="0" applyFont="1" applyFill="1" applyBorder="1" applyAlignment="1">
      <alignment horizontal="center" vertical="center" shrinkToFit="1"/>
    </xf>
    <xf numFmtId="0" fontId="150" fillId="36" borderId="0" xfId="0" applyFont="1" applyFill="1" applyAlignment="1">
      <alignment vertical="center"/>
    </xf>
    <xf numFmtId="0" fontId="140" fillId="36" borderId="0" xfId="0" applyFont="1" applyFill="1" applyAlignment="1">
      <alignment vertical="center"/>
    </xf>
    <xf numFmtId="49" fontId="140" fillId="36" borderId="9" xfId="0" applyNumberFormat="1" applyFont="1" applyFill="1" applyBorder="1" applyAlignment="1">
      <alignment horizontal="justify" vertical="center" shrinkToFit="1"/>
    </xf>
    <xf numFmtId="177" fontId="19" fillId="36" borderId="9" xfId="0" applyNumberFormat="1" applyFont="1" applyFill="1" applyBorder="1" applyAlignment="1">
      <alignment horizontal="center" vertical="center" wrapText="1" shrinkToFit="1"/>
    </xf>
    <xf numFmtId="178" fontId="19" fillId="36" borderId="9" xfId="0" applyNumberFormat="1" applyFont="1" applyFill="1" applyBorder="1" applyAlignment="1">
      <alignment horizontal="right" vertical="center" shrinkToFit="1"/>
    </xf>
    <xf numFmtId="43" fontId="19" fillId="36" borderId="9" xfId="51" applyFont="1" applyFill="1" applyBorder="1" applyAlignment="1">
      <alignment horizontal="right" shrinkToFit="1"/>
    </xf>
    <xf numFmtId="178" fontId="19" fillId="36" borderId="9" xfId="51" applyNumberFormat="1" applyFont="1" applyFill="1" applyBorder="1" applyAlignment="1">
      <alignment horizontal="right" shrinkToFit="1"/>
    </xf>
    <xf numFmtId="49" fontId="19" fillId="36" borderId="9" xfId="0" applyNumberFormat="1" applyFont="1" applyFill="1" applyBorder="1" applyAlignment="1">
      <alignment horizontal="justify" vertical="center" wrapText="1" shrinkToFit="1"/>
    </xf>
    <xf numFmtId="43" fontId="15" fillId="36" borderId="0" xfId="0" applyNumberFormat="1" applyFont="1" applyFill="1" applyAlignment="1">
      <alignment vertical="center"/>
    </xf>
    <xf numFmtId="178" fontId="9" fillId="36" borderId="9" xfId="51" applyNumberFormat="1" applyFont="1" applyFill="1" applyBorder="1" applyAlignment="1">
      <alignment horizontal="center" vertical="center" wrapText="1" shrinkToFit="1"/>
    </xf>
    <xf numFmtId="43" fontId="19" fillId="36" borderId="9" xfId="51" applyFont="1" applyFill="1" applyBorder="1" applyAlignment="1">
      <alignment horizontal="right" vertical="center" shrinkToFit="1"/>
    </xf>
    <xf numFmtId="43" fontId="70" fillId="36" borderId="9" xfId="51" applyFont="1" applyFill="1" applyBorder="1" applyAlignment="1">
      <alignment horizontal="right" vertical="center" shrinkToFit="1"/>
    </xf>
    <xf numFmtId="0" fontId="34" fillId="36" borderId="0" xfId="0" applyFont="1" applyFill="1" applyAlignment="1">
      <alignment vertical="center"/>
    </xf>
    <xf numFmtId="43" fontId="15" fillId="36" borderId="0" xfId="0" applyNumberFormat="1" applyFont="1" applyFill="1" applyAlignment="1">
      <alignment/>
    </xf>
    <xf numFmtId="0" fontId="70" fillId="36" borderId="9" xfId="0" applyFont="1" applyFill="1" applyBorder="1" applyAlignment="1">
      <alignment vertical="center" wrapText="1"/>
    </xf>
    <xf numFmtId="1" fontId="19" fillId="36" borderId="9" xfId="0" applyNumberFormat="1" applyFont="1" applyFill="1" applyBorder="1" applyAlignment="1">
      <alignment horizontal="center" vertical="center" shrinkToFit="1"/>
    </xf>
    <xf numFmtId="0" fontId="19" fillId="36" borderId="9" xfId="0" applyFont="1" applyFill="1" applyBorder="1" applyAlignment="1" quotePrefix="1">
      <alignment vertical="center"/>
    </xf>
    <xf numFmtId="178" fontId="18" fillId="36" borderId="9" xfId="51" applyNumberFormat="1" applyFont="1" applyFill="1" applyBorder="1" applyAlignment="1">
      <alignment horizontal="center" vertical="center" wrapText="1" shrinkToFit="1"/>
    </xf>
    <xf numFmtId="0" fontId="15" fillId="36" borderId="9" xfId="0" applyFont="1" applyFill="1" applyBorder="1" applyAlignment="1" quotePrefix="1">
      <alignment/>
    </xf>
    <xf numFmtId="2" fontId="15" fillId="36" borderId="0" xfId="0" applyNumberFormat="1" applyFont="1" applyFill="1" applyAlignment="1">
      <alignment/>
    </xf>
    <xf numFmtId="0" fontId="38" fillId="36" borderId="9" xfId="0" applyFont="1" applyFill="1" applyBorder="1" applyAlignment="1">
      <alignment horizontal="center" vertical="center" shrinkToFit="1"/>
    </xf>
    <xf numFmtId="174" fontId="19" fillId="36" borderId="9" xfId="49" applyNumberFormat="1" applyFont="1" applyFill="1" applyBorder="1" applyAlignment="1">
      <alignment horizontal="right" vertical="center" shrinkToFit="1"/>
    </xf>
    <xf numFmtId="43" fontId="15" fillId="36" borderId="9" xfId="51" applyNumberFormat="1" applyFont="1" applyFill="1" applyBorder="1" applyAlignment="1">
      <alignment horizontal="right" vertical="center" shrinkToFit="1"/>
    </xf>
    <xf numFmtId="0" fontId="19" fillId="36" borderId="9" xfId="0" applyFont="1" applyFill="1" applyBorder="1" applyAlignment="1">
      <alignment horizontal="left" vertical="center"/>
    </xf>
    <xf numFmtId="0" fontId="19" fillId="36" borderId="9" xfId="0" applyFont="1" applyFill="1" applyBorder="1" applyAlignment="1">
      <alignment horizontal="left" vertical="center" wrapText="1" shrinkToFit="1"/>
    </xf>
    <xf numFmtId="0" fontId="70" fillId="36" borderId="9" xfId="0" applyFont="1" applyFill="1" applyBorder="1" applyAlignment="1">
      <alignment horizontal="left" vertical="center"/>
    </xf>
    <xf numFmtId="0" fontId="70" fillId="36" borderId="9" xfId="0" applyFont="1" applyFill="1" applyBorder="1" applyAlignment="1" quotePrefix="1">
      <alignment horizontal="left" vertical="center" wrapText="1" shrinkToFit="1"/>
    </xf>
    <xf numFmtId="0" fontId="19" fillId="36" borderId="9" xfId="0" applyFont="1" applyFill="1" applyBorder="1" applyAlignment="1" quotePrefix="1">
      <alignment horizontal="left" vertical="center" wrapText="1" shrinkToFit="1"/>
    </xf>
    <xf numFmtId="218" fontId="15" fillId="36" borderId="0" xfId="0" applyNumberFormat="1" applyFont="1" applyFill="1" applyAlignment="1">
      <alignment/>
    </xf>
    <xf numFmtId="0" fontId="15" fillId="36" borderId="0" xfId="0" applyFont="1" applyFill="1" applyAlignment="1">
      <alignment horizontal="center"/>
    </xf>
    <xf numFmtId="0" fontId="32" fillId="0" borderId="0" xfId="0" applyFont="1" applyFill="1" applyAlignment="1">
      <alignment horizontal="right"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right"/>
    </xf>
    <xf numFmtId="0" fontId="19" fillId="0" borderId="0" xfId="0" applyFont="1" applyFill="1" applyBorder="1" applyAlignment="1">
      <alignment horizontal="left" vertical="center" wrapText="1"/>
    </xf>
    <xf numFmtId="0" fontId="82" fillId="0" borderId="0" xfId="0" applyFont="1" applyFill="1" applyAlignment="1">
      <alignment horizontal="center"/>
    </xf>
    <xf numFmtId="0" fontId="85" fillId="0" borderId="0" xfId="0" applyFont="1" applyFill="1" applyAlignment="1">
      <alignment horizontal="center"/>
    </xf>
    <xf numFmtId="0" fontId="71" fillId="0" borderId="14" xfId="0" applyFont="1" applyBorder="1" applyAlignment="1">
      <alignment horizontal="center"/>
    </xf>
    <xf numFmtId="0" fontId="71" fillId="0" borderId="38" xfId="0" applyFont="1" applyBorder="1" applyAlignment="1">
      <alignment horizontal="center"/>
    </xf>
    <xf numFmtId="0" fontId="58" fillId="38" borderId="35" xfId="0" applyFont="1" applyFill="1" applyBorder="1" applyAlignment="1">
      <alignment horizontal="center" vertical="center"/>
    </xf>
    <xf numFmtId="0" fontId="58" fillId="0" borderId="14" xfId="0" applyFont="1" applyBorder="1" applyAlignment="1">
      <alignment horizontal="center"/>
    </xf>
    <xf numFmtId="0" fontId="58" fillId="0" borderId="5" xfId="0" applyFont="1" applyBorder="1" applyAlignment="1">
      <alignment horizontal="center"/>
    </xf>
    <xf numFmtId="0" fontId="63" fillId="0" borderId="0" xfId="0" applyFont="1" applyAlignment="1">
      <alignment horizontal="center"/>
    </xf>
    <xf numFmtId="0" fontId="71" fillId="0" borderId="24" xfId="0" applyFont="1" applyFill="1" applyBorder="1" applyAlignment="1">
      <alignment horizontal="center" vertical="center" wrapText="1"/>
    </xf>
    <xf numFmtId="0" fontId="71" fillId="0" borderId="37" xfId="0" applyFont="1" applyFill="1" applyBorder="1" applyAlignment="1">
      <alignment horizontal="center" vertical="center" wrapText="1"/>
    </xf>
    <xf numFmtId="0" fontId="71" fillId="36" borderId="24" xfId="0" applyFont="1" applyFill="1" applyBorder="1" applyAlignment="1">
      <alignment horizontal="center" vertical="center" wrapText="1"/>
    </xf>
    <xf numFmtId="0" fontId="71" fillId="36" borderId="37" xfId="0" applyFont="1" applyFill="1" applyBorder="1" applyAlignment="1">
      <alignment horizontal="center" vertical="center" wrapText="1"/>
    </xf>
    <xf numFmtId="0" fontId="105" fillId="0" borderId="0" xfId="0" applyFont="1" applyAlignment="1">
      <alignment horizontal="center"/>
    </xf>
    <xf numFmtId="0" fontId="107" fillId="0" borderId="9" xfId="0" applyFont="1" applyBorder="1" applyAlignment="1">
      <alignment horizontal="center" vertical="center"/>
    </xf>
    <xf numFmtId="0" fontId="18" fillId="0" borderId="9" xfId="0" applyFont="1" applyBorder="1" applyAlignment="1">
      <alignment horizontal="left" vertical="center"/>
    </xf>
    <xf numFmtId="0" fontId="108" fillId="0" borderId="9" xfId="0" applyFont="1" applyBorder="1" applyAlignment="1">
      <alignment/>
    </xf>
    <xf numFmtId="0" fontId="106" fillId="0" borderId="9" xfId="0" applyFont="1" applyBorder="1" applyAlignment="1">
      <alignment horizontal="center" vertical="center"/>
    </xf>
    <xf numFmtId="0" fontId="18" fillId="0" borderId="24" xfId="0" applyFont="1" applyBorder="1" applyAlignment="1">
      <alignment horizontal="left" vertical="center" shrinkToFit="1"/>
    </xf>
    <xf numFmtId="0" fontId="18" fillId="0" borderId="37" xfId="0" applyFont="1" applyBorder="1" applyAlignment="1">
      <alignment horizontal="left" vertical="center" shrinkToFit="1"/>
    </xf>
    <xf numFmtId="0" fontId="105" fillId="0" borderId="0" xfId="0" applyFont="1" applyAlignment="1">
      <alignment horizontal="center" wrapText="1"/>
    </xf>
    <xf numFmtId="0" fontId="106" fillId="0" borderId="9" xfId="0" applyFont="1" applyBorder="1" applyAlignment="1">
      <alignment horizontal="center" vertical="center" wrapText="1"/>
    </xf>
    <xf numFmtId="0" fontId="106" fillId="0" borderId="14" xfId="0" applyFont="1" applyBorder="1" applyAlignment="1">
      <alignment horizontal="center" vertical="center"/>
    </xf>
    <xf numFmtId="0" fontId="106" fillId="0" borderId="5" xfId="0" applyFont="1" applyBorder="1" applyAlignment="1">
      <alignment horizontal="center" vertical="center"/>
    </xf>
    <xf numFmtId="0" fontId="106" fillId="0" borderId="38" xfId="0" applyFont="1" applyBorder="1" applyAlignment="1">
      <alignment horizontal="center" vertical="center"/>
    </xf>
    <xf numFmtId="0" fontId="19" fillId="0" borderId="35" xfId="0" applyFont="1" applyFill="1" applyBorder="1" applyAlignment="1">
      <alignment horizontal="left" vertical="center" wrapText="1"/>
    </xf>
    <xf numFmtId="0" fontId="72" fillId="38" borderId="35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left" vertical="center" wrapText="1"/>
    </xf>
    <xf numFmtId="49" fontId="15" fillId="0" borderId="9" xfId="0" applyNumberFormat="1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 wrapText="1"/>
    </xf>
    <xf numFmtId="0" fontId="57" fillId="36" borderId="25" xfId="93" applyNumberFormat="1" applyFont="1" applyFill="1" applyBorder="1" applyAlignment="1">
      <alignment horizontal="right" vertical="center" wrapText="1"/>
      <protection/>
    </xf>
    <xf numFmtId="0" fontId="57" fillId="36" borderId="20" xfId="93" applyNumberFormat="1" applyFont="1" applyFill="1" applyBorder="1" applyAlignment="1">
      <alignment horizontal="left" vertical="center" wrapText="1"/>
      <protection/>
    </xf>
    <xf numFmtId="0" fontId="20" fillId="36" borderId="25" xfId="93" applyNumberFormat="1" applyFont="1" applyFill="1" applyBorder="1" applyAlignment="1">
      <alignment horizontal="right" vertical="center" wrapText="1"/>
      <protection/>
    </xf>
    <xf numFmtId="0" fontId="20" fillId="36" borderId="20" xfId="93" applyNumberFormat="1" applyFont="1" applyFill="1" applyBorder="1" applyAlignment="1">
      <alignment horizontal="left" vertical="center" wrapText="1"/>
      <protection/>
    </xf>
    <xf numFmtId="0" fontId="32" fillId="36" borderId="0" xfId="93" applyFont="1" applyFill="1" applyAlignment="1">
      <alignment horizontal="right" vertical="center" wrapText="1"/>
      <protection/>
    </xf>
    <xf numFmtId="0" fontId="63" fillId="36" borderId="0" xfId="93" applyFont="1" applyFill="1" applyAlignment="1">
      <alignment horizontal="center" vertical="center" wrapText="1"/>
      <protection/>
    </xf>
    <xf numFmtId="0" fontId="64" fillId="36" borderId="0" xfId="93" applyFont="1" applyFill="1" applyAlignment="1">
      <alignment horizontal="center" vertical="center" wrapText="1"/>
      <protection/>
    </xf>
    <xf numFmtId="0" fontId="57" fillId="36" borderId="0" xfId="93" applyNumberFormat="1" applyFont="1" applyFill="1" applyBorder="1" applyAlignment="1">
      <alignment horizontal="right" vertical="center" wrapText="1"/>
      <protection/>
    </xf>
    <xf numFmtId="0" fontId="57" fillId="36" borderId="25" xfId="93" applyNumberFormat="1" applyFont="1" applyFill="1" applyBorder="1" applyAlignment="1">
      <alignment horizontal="left" vertical="center" wrapText="1"/>
      <protection/>
    </xf>
    <xf numFmtId="0" fontId="58" fillId="36" borderId="14" xfId="93" applyFont="1" applyFill="1" applyBorder="1" applyAlignment="1">
      <alignment horizontal="center" vertical="center" wrapText="1"/>
      <protection/>
    </xf>
    <xf numFmtId="0" fontId="58" fillId="36" borderId="38" xfId="93" applyFont="1" applyFill="1" applyBorder="1" applyAlignment="1">
      <alignment horizontal="center" vertical="center" wrapText="1"/>
      <protection/>
    </xf>
    <xf numFmtId="0" fontId="58" fillId="36" borderId="25" xfId="93" applyNumberFormat="1" applyFont="1" applyFill="1" applyBorder="1" applyAlignment="1">
      <alignment horizontal="center" vertical="center" wrapText="1"/>
      <protection/>
    </xf>
    <xf numFmtId="0" fontId="58" fillId="36" borderId="20" xfId="93" applyNumberFormat="1" applyFont="1" applyFill="1" applyBorder="1" applyAlignment="1">
      <alignment horizontal="center" vertical="center" wrapText="1"/>
      <protection/>
    </xf>
    <xf numFmtId="0" fontId="9" fillId="36" borderId="25" xfId="93" applyNumberFormat="1" applyFont="1" applyFill="1" applyBorder="1" applyAlignment="1">
      <alignment horizontal="left" vertical="center" wrapText="1"/>
      <protection/>
    </xf>
    <xf numFmtId="0" fontId="9" fillId="36" borderId="20" xfId="93" applyNumberFormat="1" applyFont="1" applyFill="1" applyBorder="1" applyAlignment="1">
      <alignment horizontal="left" vertical="center" wrapText="1"/>
      <protection/>
    </xf>
    <xf numFmtId="0" fontId="59" fillId="36" borderId="25" xfId="93" applyNumberFormat="1" applyFont="1" applyFill="1" applyBorder="1" applyAlignment="1">
      <alignment horizontal="left" vertical="center" wrapText="1"/>
      <protection/>
    </xf>
    <xf numFmtId="0" fontId="59" fillId="36" borderId="20" xfId="93" applyNumberFormat="1" applyFont="1" applyFill="1" applyBorder="1" applyAlignment="1">
      <alignment horizontal="left" vertical="center" wrapText="1"/>
      <protection/>
    </xf>
    <xf numFmtId="0" fontId="20" fillId="36" borderId="25" xfId="93" applyFont="1" applyFill="1" applyBorder="1" applyAlignment="1">
      <alignment horizontal="right" vertical="center" wrapText="1"/>
      <protection/>
    </xf>
    <xf numFmtId="0" fontId="20" fillId="36" borderId="20" xfId="93" applyFont="1" applyFill="1" applyBorder="1" applyAlignment="1">
      <alignment horizontal="center" vertical="center" wrapText="1"/>
      <protection/>
    </xf>
    <xf numFmtId="0" fontId="15" fillId="0" borderId="0" xfId="93" applyFont="1" applyFill="1" applyAlignment="1">
      <alignment horizontal="center" vertical="center" wrapText="1"/>
      <protection/>
    </xf>
    <xf numFmtId="0" fontId="15" fillId="0" borderId="0" xfId="96" applyFont="1" applyFill="1" applyAlignment="1">
      <alignment horizontal="center" vertical="center" wrapText="1"/>
      <protection/>
    </xf>
    <xf numFmtId="0" fontId="15" fillId="0" borderId="0" xfId="96" applyFont="1" applyFill="1" applyAlignment="1">
      <alignment horizontal="center" vertical="center"/>
      <protection/>
    </xf>
    <xf numFmtId="0" fontId="58" fillId="36" borderId="0" xfId="96" applyFont="1" applyFill="1" applyAlignment="1">
      <alignment horizontal="center" vertical="center" wrapText="1"/>
      <protection/>
    </xf>
    <xf numFmtId="0" fontId="58" fillId="36" borderId="0" xfId="96" applyFont="1" applyFill="1" applyAlignment="1">
      <alignment horizontal="center" vertical="center"/>
      <protection/>
    </xf>
    <xf numFmtId="43" fontId="57" fillId="36" borderId="0" xfId="56" applyFont="1" applyFill="1" applyBorder="1" applyAlignment="1">
      <alignment horizontal="right" vertical="center"/>
    </xf>
    <xf numFmtId="43" fontId="57" fillId="36" borderId="1" xfId="56" applyFont="1" applyFill="1" applyBorder="1" applyAlignment="1">
      <alignment horizontal="right" vertical="center"/>
    </xf>
    <xf numFmtId="0" fontId="15" fillId="0" borderId="0" xfId="97" applyFont="1" applyFill="1" applyBorder="1" applyAlignment="1">
      <alignment horizontal="right" vertical="center" wrapText="1"/>
      <protection/>
    </xf>
    <xf numFmtId="0" fontId="34" fillId="0" borderId="0" xfId="97" applyFont="1" applyFill="1" applyBorder="1" applyAlignment="1">
      <alignment horizontal="right" vertical="center" wrapText="1"/>
      <protection/>
    </xf>
    <xf numFmtId="0" fontId="15" fillId="0" borderId="0" xfId="97" applyFont="1" applyFill="1" applyBorder="1" applyAlignment="1">
      <alignment horizontal="center" vertical="center" wrapText="1"/>
      <protection/>
    </xf>
    <xf numFmtId="0" fontId="15" fillId="0" borderId="14" xfId="97" applyFont="1" applyFill="1" applyBorder="1" applyAlignment="1">
      <alignment horizontal="center" vertical="center" wrapText="1"/>
      <protection/>
    </xf>
    <xf numFmtId="0" fontId="15" fillId="0" borderId="5" xfId="97" applyFont="1" applyFill="1" applyBorder="1" applyAlignment="1">
      <alignment horizontal="center" vertical="center" wrapText="1"/>
      <protection/>
    </xf>
    <xf numFmtId="0" fontId="15" fillId="0" borderId="38" xfId="97" applyFont="1" applyFill="1" applyBorder="1" applyAlignment="1">
      <alignment horizontal="center" vertical="center" wrapText="1"/>
      <protection/>
    </xf>
    <xf numFmtId="3" fontId="19" fillId="0" borderId="25" xfId="97" applyNumberFormat="1" applyFont="1" applyFill="1" applyBorder="1" applyAlignment="1">
      <alignment horizontal="center" vertical="center"/>
      <protection/>
    </xf>
    <xf numFmtId="3" fontId="19" fillId="0" borderId="27" xfId="97" applyNumberFormat="1" applyFont="1" applyFill="1" applyBorder="1" applyAlignment="1">
      <alignment horizontal="center" vertical="center"/>
      <protection/>
    </xf>
    <xf numFmtId="3" fontId="19" fillId="0" borderId="20" xfId="97" applyNumberFormat="1" applyFont="1" applyFill="1" applyBorder="1" applyAlignment="1">
      <alignment horizontal="center" vertical="center"/>
      <protection/>
    </xf>
    <xf numFmtId="3" fontId="19" fillId="0" borderId="25" xfId="97" applyNumberFormat="1" applyFont="1" applyFill="1" applyBorder="1" applyAlignment="1">
      <alignment horizontal="center" vertical="center" wrapText="1"/>
      <protection/>
    </xf>
    <xf numFmtId="3" fontId="19" fillId="0" borderId="27" xfId="97" applyNumberFormat="1" applyFont="1" applyFill="1" applyBorder="1" applyAlignment="1">
      <alignment horizontal="center" vertical="center" wrapText="1"/>
      <protection/>
    </xf>
    <xf numFmtId="3" fontId="19" fillId="0" borderId="20" xfId="97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28" fillId="0" borderId="24" xfId="0" applyFont="1" applyBorder="1" applyAlignment="1">
      <alignment horizontal="center" vertical="center" wrapText="1"/>
    </xf>
    <xf numFmtId="0" fontId="28" fillId="0" borderId="37" xfId="0" applyFont="1" applyBorder="1" applyAlignment="1">
      <alignment horizontal="center" vertical="center" wrapText="1"/>
    </xf>
    <xf numFmtId="0" fontId="27" fillId="0" borderId="39" xfId="0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0" fontId="32" fillId="0" borderId="0" xfId="0" applyFont="1" applyFill="1" applyAlignment="1">
      <alignment horizontal="center" vertical="center"/>
    </xf>
    <xf numFmtId="0" fontId="173" fillId="0" borderId="0" xfId="0" applyFont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/>
    </xf>
    <xf numFmtId="0" fontId="70" fillId="0" borderId="1" xfId="0" applyFont="1" applyFill="1" applyBorder="1" applyAlignment="1">
      <alignment horizontal="right" vertical="center"/>
    </xf>
    <xf numFmtId="0" fontId="63" fillId="0" borderId="24" xfId="94" applyFont="1" applyBorder="1" applyAlignment="1">
      <alignment horizontal="center" vertical="center" wrapText="1"/>
      <protection/>
    </xf>
    <xf numFmtId="0" fontId="63" fillId="0" borderId="37" xfId="94" applyFont="1" applyBorder="1" applyAlignment="1">
      <alignment horizontal="center" vertical="center" wrapText="1"/>
      <protection/>
    </xf>
    <xf numFmtId="0" fontId="63" fillId="0" borderId="9" xfId="94" applyFont="1" applyBorder="1" applyAlignment="1">
      <alignment horizontal="center" vertical="center" wrapText="1"/>
      <protection/>
    </xf>
    <xf numFmtId="0" fontId="63" fillId="0" borderId="9" xfId="94" applyFont="1" applyBorder="1" applyAlignment="1">
      <alignment horizontal="center" wrapText="1"/>
      <protection/>
    </xf>
    <xf numFmtId="0" fontId="72" fillId="41" borderId="35" xfId="94" applyFont="1" applyFill="1" applyBorder="1" applyAlignment="1">
      <alignment horizontal="center" vertical="center"/>
      <protection/>
    </xf>
    <xf numFmtId="0" fontId="32" fillId="0" borderId="0" xfId="94" applyFont="1" applyFill="1" applyAlignment="1">
      <alignment horizontal="right"/>
      <protection/>
    </xf>
    <xf numFmtId="0" fontId="32" fillId="0" borderId="0" xfId="94" applyFont="1" applyAlignment="1">
      <alignment horizontal="right" vertical="center" wrapText="1"/>
      <protection/>
    </xf>
    <xf numFmtId="0" fontId="63" fillId="0" borderId="0" xfId="94" applyFont="1" applyAlignment="1">
      <alignment horizontal="center" vertical="center" wrapText="1"/>
      <protection/>
    </xf>
    <xf numFmtId="0" fontId="63" fillId="0" borderId="0" xfId="94" applyFont="1" applyAlignment="1">
      <alignment horizontal="left" vertical="center" wrapText="1"/>
      <protection/>
    </xf>
    <xf numFmtId="0" fontId="100" fillId="0" borderId="24" xfId="0" applyFont="1" applyFill="1" applyBorder="1" applyAlignment="1">
      <alignment horizontal="center" vertical="center" wrapText="1"/>
    </xf>
    <xf numFmtId="0" fontId="100" fillId="0" borderId="37" xfId="0" applyFont="1" applyFill="1" applyBorder="1" applyAlignment="1">
      <alignment horizontal="center" vertical="center" wrapText="1"/>
    </xf>
    <xf numFmtId="0" fontId="100" fillId="0" borderId="9" xfId="0" applyFont="1" applyFill="1" applyBorder="1" applyAlignment="1">
      <alignment horizontal="center" vertical="center" wrapText="1"/>
    </xf>
    <xf numFmtId="0" fontId="111" fillId="0" borderId="9" xfId="0" applyFont="1" applyBorder="1" applyAlignment="1">
      <alignment horizontal="center" wrapText="1"/>
    </xf>
    <xf numFmtId="0" fontId="111" fillId="0" borderId="9" xfId="0" applyFont="1" applyBorder="1" applyAlignment="1">
      <alignment wrapText="1"/>
    </xf>
    <xf numFmtId="0" fontId="100" fillId="0" borderId="41" xfId="0" applyFont="1" applyFill="1" applyBorder="1" applyAlignment="1">
      <alignment horizontal="center" vertical="center" wrapText="1"/>
    </xf>
    <xf numFmtId="0" fontId="100" fillId="0" borderId="39" xfId="0" applyFont="1" applyFill="1" applyBorder="1" applyAlignment="1">
      <alignment horizontal="center" vertical="center" wrapText="1"/>
    </xf>
    <xf numFmtId="0" fontId="100" fillId="0" borderId="9" xfId="0" applyFont="1" applyFill="1" applyBorder="1" applyAlignment="1">
      <alignment horizontal="center" vertical="center"/>
    </xf>
    <xf numFmtId="0" fontId="100" fillId="0" borderId="9" xfId="0" applyFont="1" applyBorder="1" applyAlignment="1">
      <alignment horizontal="center" vertical="center"/>
    </xf>
    <xf numFmtId="0" fontId="57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15" fillId="36" borderId="0" xfId="0" applyFont="1" applyFill="1" applyAlignment="1">
      <alignment horizontal="center" vertical="center" wrapText="1"/>
    </xf>
    <xf numFmtId="0" fontId="15" fillId="36" borderId="9" xfId="0" applyFont="1" applyFill="1" applyBorder="1" applyAlignment="1">
      <alignment horizontal="center" vertical="center" wrapText="1"/>
    </xf>
    <xf numFmtId="0" fontId="75" fillId="36" borderId="9" xfId="0" applyFont="1" applyFill="1" applyBorder="1" applyAlignment="1">
      <alignment horizontal="center" wrapText="1"/>
    </xf>
    <xf numFmtId="0" fontId="15" fillId="36" borderId="0" xfId="0" applyFont="1" applyFill="1" applyAlignment="1">
      <alignment horizontal="center" vertical="center"/>
    </xf>
    <xf numFmtId="0" fontId="70" fillId="36" borderId="0" xfId="0" applyFont="1" applyFill="1" applyAlignment="1">
      <alignment horizontal="center"/>
    </xf>
    <xf numFmtId="0" fontId="15" fillId="36" borderId="24" xfId="0" applyFont="1" applyFill="1" applyBorder="1" applyAlignment="1">
      <alignment horizontal="center" vertical="center" wrapText="1"/>
    </xf>
    <xf numFmtId="0" fontId="15" fillId="36" borderId="37" xfId="0" applyFont="1" applyFill="1" applyBorder="1" applyAlignment="1">
      <alignment horizontal="center" vertical="center" wrapText="1"/>
    </xf>
    <xf numFmtId="0" fontId="15" fillId="36" borderId="14" xfId="0" applyFont="1" applyFill="1" applyBorder="1" applyAlignment="1">
      <alignment horizontal="center" vertical="center" wrapText="1"/>
    </xf>
    <xf numFmtId="0" fontId="15" fillId="36" borderId="5" xfId="0" applyFont="1" applyFill="1" applyBorder="1" applyAlignment="1">
      <alignment horizontal="center" vertical="center" wrapText="1"/>
    </xf>
    <xf numFmtId="0" fontId="15" fillId="36" borderId="38" xfId="0" applyFont="1" applyFill="1" applyBorder="1" applyAlignment="1">
      <alignment horizontal="center" vertical="center" wrapText="1"/>
    </xf>
    <xf numFmtId="0" fontId="75" fillId="36" borderId="9" xfId="0" applyFont="1" applyFill="1" applyBorder="1" applyAlignment="1">
      <alignment wrapText="1"/>
    </xf>
    <xf numFmtId="0" fontId="15" fillId="36" borderId="0" xfId="0" applyFont="1" applyFill="1" applyAlignment="1">
      <alignment horizontal="center"/>
    </xf>
    <xf numFmtId="0" fontId="34" fillId="36" borderId="0" xfId="0" applyFont="1" applyFill="1" applyAlignment="1">
      <alignment horizontal="right" vertical="center"/>
    </xf>
    <xf numFmtId="0" fontId="34" fillId="0" borderId="0" xfId="0" applyFont="1" applyFill="1" applyAlignment="1">
      <alignment horizontal="right" vertical="center"/>
    </xf>
    <xf numFmtId="0" fontId="15" fillId="0" borderId="0" xfId="0" applyFont="1" applyFill="1" applyAlignment="1">
      <alignment horizontal="center"/>
    </xf>
    <xf numFmtId="0" fontId="70" fillId="0" borderId="0" xfId="0" applyFont="1" applyFill="1" applyAlignment="1">
      <alignment horizontal="center"/>
    </xf>
    <xf numFmtId="0" fontId="75" fillId="0" borderId="9" xfId="0" applyFont="1" applyFill="1" applyBorder="1" applyAlignment="1">
      <alignment wrapText="1"/>
    </xf>
    <xf numFmtId="0" fontId="75" fillId="0" borderId="9" xfId="0" applyFont="1" applyFill="1" applyBorder="1" applyAlignment="1">
      <alignment horizont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center"/>
    </xf>
    <xf numFmtId="0" fontId="111" fillId="0" borderId="9" xfId="0" applyFont="1" applyFill="1" applyBorder="1" applyAlignment="1">
      <alignment wrapText="1"/>
    </xf>
    <xf numFmtId="0" fontId="111" fillId="0" borderId="9" xfId="0" applyFont="1" applyFill="1" applyBorder="1" applyAlignment="1">
      <alignment horizontal="center" wrapText="1"/>
    </xf>
    <xf numFmtId="0" fontId="100" fillId="0" borderId="14" xfId="0" applyFont="1" applyFill="1" applyBorder="1" applyAlignment="1">
      <alignment horizontal="center" vertical="center" wrapText="1"/>
    </xf>
    <xf numFmtId="0" fontId="100" fillId="0" borderId="5" xfId="0" applyFont="1" applyFill="1" applyBorder="1" applyAlignment="1">
      <alignment horizontal="center" vertical="center" wrapText="1"/>
    </xf>
    <xf numFmtId="0" fontId="100" fillId="0" borderId="38" xfId="0" applyFont="1" applyFill="1" applyBorder="1" applyAlignment="1">
      <alignment horizontal="center" vertical="center" wrapText="1"/>
    </xf>
    <xf numFmtId="178" fontId="18" fillId="0" borderId="24" xfId="51" applyNumberFormat="1" applyFont="1" applyFill="1" applyBorder="1" applyAlignment="1">
      <alignment horizontal="center" vertical="center" wrapText="1" shrinkToFit="1"/>
    </xf>
    <xf numFmtId="178" fontId="18" fillId="0" borderId="11" xfId="51" applyNumberFormat="1" applyFont="1" applyFill="1" applyBorder="1" applyAlignment="1">
      <alignment horizontal="center" vertical="center" wrapText="1" shrinkToFit="1"/>
    </xf>
    <xf numFmtId="178" fontId="18" fillId="0" borderId="37" xfId="51" applyNumberFormat="1" applyFont="1" applyFill="1" applyBorder="1" applyAlignment="1">
      <alignment horizontal="center" vertical="center" wrapText="1" shrinkToFit="1"/>
    </xf>
  </cellXfs>
  <cellStyles count="13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52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eE­ [0]_INQUIRY ¿μ¾÷AßAø " xfId="40"/>
    <cellStyle name="AeE­_INQUIRY ¿µ¾÷AßAø " xfId="41"/>
    <cellStyle name="AÞ¸¶ [0]_INQUIRY ¿?¾÷AßAø " xfId="42"/>
    <cellStyle name="AÞ¸¶_INQUIRY ¿?¾÷AßAø " xfId="43"/>
    <cellStyle name="Bad" xfId="44"/>
    <cellStyle name="C?AØ_¿?¾÷CoE² " xfId="45"/>
    <cellStyle name="C￥AØ_¿μ¾÷CoE² " xfId="46"/>
    <cellStyle name="Calculation" xfId="47"/>
    <cellStyle name="Check Cell" xfId="48"/>
    <cellStyle name="Comma" xfId="49"/>
    <cellStyle name="Comma [0]" xfId="50"/>
    <cellStyle name="Comma 2" xfId="51"/>
    <cellStyle name="Comma 2 2" xfId="52"/>
    <cellStyle name="Comma 3" xfId="53"/>
    <cellStyle name="Comma 7" xfId="54"/>
    <cellStyle name="comma zerodec" xfId="55"/>
    <cellStyle name="Comma_Cocau2004(22-11)" xfId="56"/>
    <cellStyle name="Comma0" xfId="57"/>
    <cellStyle name="Currency" xfId="58"/>
    <cellStyle name="Currency [0]" xfId="59"/>
    <cellStyle name="Currency0" xfId="60"/>
    <cellStyle name="Currency1" xfId="61"/>
    <cellStyle name="Date" xfId="62"/>
    <cellStyle name="Dollar (zero dec)" xfId="63"/>
    <cellStyle name="Explanatory Text" xfId="64"/>
    <cellStyle name="Fixed" xfId="65"/>
    <cellStyle name="Followed Hyperlink" xfId="66"/>
    <cellStyle name="Good" xfId="67"/>
    <cellStyle name="Grey" xfId="68"/>
    <cellStyle name="Header1" xfId="69"/>
    <cellStyle name="Header2" xfId="70"/>
    <cellStyle name="Heading 1" xfId="71"/>
    <cellStyle name="Heading 2" xfId="72"/>
    <cellStyle name="Heading 3" xfId="73"/>
    <cellStyle name="Heading 4" xfId="74"/>
    <cellStyle name="HEADING1" xfId="75"/>
    <cellStyle name="HEADING2" xfId="76"/>
    <cellStyle name="Hyperlink" xfId="77"/>
    <cellStyle name="Input" xfId="78"/>
    <cellStyle name="Input [yellow]" xfId="79"/>
    <cellStyle name="Linked Cell" xfId="80"/>
    <cellStyle name="Loai CBDT" xfId="81"/>
    <cellStyle name="Loai CT" xfId="82"/>
    <cellStyle name="Loai GD" xfId="83"/>
    <cellStyle name="Monétaire [0]_TARIFFS DB" xfId="84"/>
    <cellStyle name="Monétaire_TARIFFS DB" xfId="85"/>
    <cellStyle name="n" xfId="86"/>
    <cellStyle name="Neutral" xfId="87"/>
    <cellStyle name="New Times Roman" xfId="88"/>
    <cellStyle name="no dec" xfId="89"/>
    <cellStyle name="Normal - Style1" xfId="90"/>
    <cellStyle name="Normal 14" xfId="91"/>
    <cellStyle name="Normal 2" xfId="92"/>
    <cellStyle name="Normal 3" xfId="93"/>
    <cellStyle name="Normal 4" xfId="94"/>
    <cellStyle name="Normal 5" xfId="95"/>
    <cellStyle name="Normal_Cocau2004(22-11)" xfId="96"/>
    <cellStyle name="Normal_Phu luc 2 (11.10.08)" xfId="97"/>
    <cellStyle name="Note" xfId="98"/>
    <cellStyle name="Output" xfId="99"/>
    <cellStyle name="Percent" xfId="100"/>
    <cellStyle name="Percent [2]" xfId="101"/>
    <cellStyle name="Percent 2" xfId="102"/>
    <cellStyle name="T" xfId="103"/>
    <cellStyle name="th" xfId="104"/>
    <cellStyle name="Title" xfId="105"/>
    <cellStyle name="Tong so" xfId="106"/>
    <cellStyle name="tong so 1" xfId="107"/>
    <cellStyle name="Total" xfId="108"/>
    <cellStyle name="viet" xfId="109"/>
    <cellStyle name="viet2" xfId="110"/>
    <cellStyle name="Warning Text" xfId="111"/>
    <cellStyle name="xuan" xfId="112"/>
    <cellStyle name=" [0.00]_ Att. 1- Cover" xfId="113"/>
    <cellStyle name="_ Att. 1- Cover" xfId="114"/>
    <cellStyle name="?_ Att. 1- Cover" xfId="115"/>
    <cellStyle name="똿뗦먛귟 [0.00]_PRODUCT DETAIL Q1" xfId="116"/>
    <cellStyle name="똿뗦먛귟_PRODUCT DETAIL Q1" xfId="117"/>
    <cellStyle name="믅됞 [0.00]_PRODUCT DETAIL Q1" xfId="118"/>
    <cellStyle name="믅됞_PRODUCT DETAIL Q1" xfId="119"/>
    <cellStyle name="백분율_95" xfId="120"/>
    <cellStyle name="뷭?_BOOKSHIP" xfId="121"/>
    <cellStyle name="콤마 [0]_1202" xfId="122"/>
    <cellStyle name="콤마_1202" xfId="123"/>
    <cellStyle name="통화 [0]_1202" xfId="124"/>
    <cellStyle name="통화_1202" xfId="125"/>
    <cellStyle name="표준_(정보부문)월별인원계획" xfId="126"/>
    <cellStyle name="一般_00Q3902REV.1" xfId="127"/>
    <cellStyle name="千分位[0]_00Q3902REV.1" xfId="128"/>
    <cellStyle name="千分位_00Q3902REV.1" xfId="129"/>
    <cellStyle name="貨幣 [0]_00Q3902REV.1" xfId="130"/>
    <cellStyle name="貨幣[0]_BRE" xfId="131"/>
    <cellStyle name="貨幣_00Q3902REV.1" xfId="1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externalLink" Target="externalLinks/externalLink1.xml" /><Relationship Id="rId36" Type="http://schemas.openxmlformats.org/officeDocument/2006/relationships/externalLink" Target="externalLinks/externalLink2.xml" /><Relationship Id="rId37" Type="http://schemas.openxmlformats.org/officeDocument/2006/relationships/externalLink" Target="externalLinks/externalLink3.xml" /><Relationship Id="rId38" Type="http://schemas.openxmlformats.org/officeDocument/2006/relationships/externalLink" Target="externalLinks/externalLink4.xml" /><Relationship Id="rId39" Type="http://schemas.openxmlformats.org/officeDocument/2006/relationships/externalLink" Target="externalLinks/externalLink5.xml" /><Relationship Id="rId40" Type="http://schemas.openxmlformats.org/officeDocument/2006/relationships/externalLink" Target="externalLinks/externalLink6.xml" /><Relationship Id="rId4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2011-2015\2011-2015\FINAL\My%20Documents\So%20tay%20ke%20hoach\So%20tay%20Kh%202007\3_Co%20cau%20nguon%20von%20theo%20nganh_linh%20vuc%20_chi%20Phu%20Ha_page66_7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acong2\c\96Q2573\HE-7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2011-2015\2011-2015\FINAL\5nam2011-2015\2011\Thang8-2011\HopCP(30-8-2011)\cocauDT(28-8-201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AppData\eOffice\TMP12345S\bi&#7875;u%20m&#7851;u%20%20giai%20&#273;o&#7841;n%202011-20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AppData\eOffice\TMP12345S\PL2%20-bi&#7875;u%20m&#7851;u%20%20giai%20&#273;o&#7841;n%202016-2020%20(2.10.14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IPE-03E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XL4Poppy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00000000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BC_KKTSCD"/>
      <sheetName val="Chitiet"/>
      <sheetName val="Sheet2 (2)"/>
      <sheetName val="Mau_BC_KKTSCD"/>
      <sheetName val="Chi tiet - Dv lap"/>
      <sheetName val="TH KHTC"/>
      <sheetName val="000"/>
      <sheetName val="1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TH"/>
      <sheetName val="CD1"/>
      <sheetName val=" NL (2)"/>
      <sheetName val="CDTHCT"/>
      <sheetName val="CDTHCT (3)"/>
      <sheetName val="binh do"/>
      <sheetName val="cot lieu"/>
      <sheetName val="van khuon"/>
      <sheetName val="CT BT"/>
      <sheetName val="lay mau"/>
      <sheetName val="mat ngoai goi"/>
      <sheetName val="coc tram-bt"/>
      <sheetName val="KH 2003 (moi max)"/>
      <sheetName val="Congty"/>
      <sheetName val="VPPN"/>
      <sheetName val="XN74"/>
      <sheetName val="XN54"/>
      <sheetName val="XN33"/>
      <sheetName val="NK96"/>
      <sheetName val="XL4Test5"/>
      <sheetName val="MD"/>
      <sheetName val="ND"/>
      <sheetName val="CONG"/>
      <sheetName val="DGCT"/>
      <sheetName val="KH12"/>
      <sheetName val="CN12"/>
      <sheetName val="HD12"/>
      <sheetName val="KH1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Chart2"/>
      <sheetName val="be tong"/>
      <sheetName val="Thep"/>
      <sheetName val="Tong hop thep"/>
      <sheetName val="Km0-Km1"/>
      <sheetName val="Km1-Km2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cd viaK0-T6"/>
      <sheetName val="cdvia T6-Tc24"/>
      <sheetName val="cdvia Tc24-T46"/>
      <sheetName val="cdbtnL2ko-k0+361"/>
      <sheetName val="cd btnL2k0+361-T19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Dong Dau"/>
      <sheetName val="Dong Dau (2)"/>
      <sheetName val="Sau dong"/>
      <sheetName val="Ma xa"/>
      <sheetName val="My dinh"/>
      <sheetName val="Tong cong"/>
      <sheetName val="VL"/>
      <sheetName val="CTXD"/>
      <sheetName val=".."/>
      <sheetName val="CTDN"/>
      <sheetName val="san vuon"/>
      <sheetName val="khu phu tro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Thuyet minh"/>
      <sheetName val="CQ-HQ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Phu luc"/>
      <sheetName val="Gia trÞ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10000000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CHIT"/>
      <sheetName val="THXH"/>
      <sheetName val="BHXH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DT"/>
      <sheetName val="THND"/>
      <sheetName val="THMD"/>
      <sheetName val="Phtro1"/>
      <sheetName val="DTKS1"/>
      <sheetName val="CT1m"/>
      <sheetName val="THCT"/>
      <sheetName val="cap cho cac DT"/>
      <sheetName val="Ung - hoan"/>
      <sheetName val="CP may"/>
      <sheetName val="SS"/>
      <sheetName val="NVL"/>
      <sheetName val="Thep "/>
      <sheetName val="Chi tiet Khoi luong"/>
      <sheetName val="TH khoi luong"/>
      <sheetName val="Chiet tinh vat lieu "/>
      <sheetName val="TH KL VL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dutoan1"/>
      <sheetName val="Anhtoan"/>
      <sheetName val="dutoan2"/>
      <sheetName val="vat tu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Dong nai"/>
      <sheetName val="LUU1704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cong Q2"/>
      <sheetName val="T.U luong Q1"/>
      <sheetName val="T.U luong Q2"/>
      <sheetName val="T.U luong Q3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tscd"/>
      <sheetName val="KM"/>
      <sheetName val="KHOANMUC"/>
      <sheetName val="CPQL"/>
      <sheetName val="SANLUONG"/>
      <sheetName val="SSCP-SL"/>
      <sheetName val="CPSX"/>
      <sheetName val="KQKD"/>
      <sheetName val="CDSL (2)"/>
      <sheetName val="00000001"/>
      <sheetName val="00000002"/>
      <sheetName val="00000003"/>
      <sheetName val="00000004"/>
      <sheetName val="phan tich DG"/>
      <sheetName val="gia vat lieu"/>
      <sheetName val="gia xe may"/>
      <sheetName val="gia nhan cong"/>
      <sheetName val="9"/>
      <sheetName val="10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sent to"/>
      <sheetName val="Phu luc HD"/>
      <sheetName val="Gia du thau"/>
      <sheetName val="PTDG"/>
      <sheetName val="Ca xe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T1(T1)04"/>
      <sheetName val="Caodo"/>
      <sheetName val="Dat"/>
      <sheetName val="KL-CTTK"/>
      <sheetName val="BTH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Quyet toan"/>
      <sheetName val="Thu hoi"/>
      <sheetName val="Lai vay"/>
      <sheetName val="Tien vay"/>
      <sheetName val="Cong no"/>
      <sheetName val="Cop pha"/>
      <sheetName val="20000000"/>
      <sheetName val="KL Tram Cty"/>
      <sheetName val="Gam may Cty"/>
      <sheetName val="KL tram KH"/>
      <sheetName val="Gam may KH"/>
      <sheetName val="Cach dien"/>
      <sheetName val="Mang tai"/>
      <sheetName val="KL DDK"/>
      <sheetName val="Mang tai DDK"/>
      <sheetName val="KL DDK0,4"/>
      <sheetName val="TT Ky thuat"/>
      <sheetName val="CT moi"/>
      <sheetName val="Tu dien"/>
      <sheetName val="May cat"/>
      <sheetName val="Dao Cly"/>
      <sheetName val="Dao Ptai"/>
      <sheetName val="Tu RMU"/>
      <sheetName val="C.set"/>
      <sheetName val="SI"/>
      <sheetName val="Sco Cap"/>
      <sheetName val="Sco TB"/>
      <sheetName val="TN tram"/>
      <sheetName val="TN C.set"/>
      <sheetName val="TN TD DDay"/>
      <sheetName val="Phan chung"/>
      <sheetName val="C45A-BH"/>
      <sheetName val="C46A-BH"/>
      <sheetName val="C47A-BH"/>
      <sheetName val="C48A-BH"/>
      <sheetName val="S-53-1"/>
      <sheetName val="XN79"/>
      <sheetName val="CTMT"/>
      <sheetName val="N1111"/>
      <sheetName val="C1111"/>
      <sheetName val="1121"/>
      <sheetName val="daura"/>
      <sheetName val="dauvao"/>
      <sheetName val="cong bien t10"/>
      <sheetName val="luong t9 "/>
      <sheetName val="bb t9"/>
      <sheetName val="XETT10-03"/>
      <sheetName val="bxet"/>
      <sheetName val="THDT"/>
      <sheetName val="DM-Goc"/>
      <sheetName val="Gia-CT"/>
      <sheetName val="PTCP"/>
    </sheetNames>
    <definedNames>
      <definedName name="DataFilter"/>
      <definedName name="DataSort"/>
      <definedName name="GoBack" sheetId="1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 tay_Co cau von 2007"/>
      <sheetName val="Sheet1"/>
      <sheetName val="Tong hop"/>
      <sheetName val="new"/>
      <sheetName val="0000000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iao"/>
      <sheetName val="CHIET TINH"/>
      <sheetName val="Bang gia Ca May"/>
      <sheetName val="Bang Gia VL"/>
      <sheetName val="Tong Hop KP"/>
      <sheetName val=" DON GIA"/>
      <sheetName val="CHIET TINH THEO KH.SAT"/>
      <sheetName val="XL4Poppy"/>
      <sheetName val="DT thi ngiem"/>
      <sheetName val="TH DT thi nghiem"/>
      <sheetName val="TH DT"/>
      <sheetName val="DT2"/>
      <sheetName val="CT"/>
      <sheetName val="KL xa"/>
      <sheetName val="KL cot"/>
      <sheetName val="Xa su"/>
      <sheetName val="CP Xa"/>
      <sheetName val="THDT xa"/>
      <sheetName val="Cot dien"/>
      <sheetName val="TH cot"/>
      <sheetName val="CT VC cot"/>
      <sheetName val="VC CT ma"/>
      <sheetName val="CT cot thep"/>
      <sheetName val="CT ma kem"/>
      <sheetName val="PBKL"/>
      <sheetName val="CT be tong"/>
      <sheetName val="C.tinh"/>
      <sheetName val="00000000"/>
      <sheetName val="Sheet2"/>
      <sheetName val="D12TUVAN"/>
      <sheetName val="D7Longhiep"/>
      <sheetName val="NMNHUa"/>
      <sheetName val="DXMay"/>
      <sheetName val="D7TT3"/>
      <sheetName val="PXII"/>
      <sheetName val="Vaycuong"/>
      <sheetName val="DCUONG"/>
      <sheetName val="Sheet3"/>
      <sheetName val="DVINA"/>
      <sheetName val="Sheet5"/>
      <sheetName val="DCKCUONG"/>
      <sheetName val="D3KSVINA"/>
      <sheetName val="DOI 7"/>
      <sheetName val="DOI 3"/>
      <sheetName val="DOI1"/>
      <sheetName val="DOI6"/>
      <sheetName val="Sheet1"/>
      <sheetName val="DOI5"/>
      <sheetName val="Sheet4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VTAcap"/>
      <sheetName val="DCVTACaP"/>
      <sheetName val="TKHC-35"/>
      <sheetName val="TKTK0,4"/>
      <sheetName val="BangPhanday"/>
      <sheetName val="DANBVE"/>
      <sheetName val="TKHC-0,4"/>
      <sheetName val="TKTK-35"/>
      <sheetName val="KL GD2 tong the"/>
      <sheetName val="TKHC-CT"/>
      <sheetName val="MC,MN"/>
      <sheetName val="X,TD"/>
      <sheetName val="TBA,CTO"/>
      <sheetName val="CD"/>
      <sheetName val="Cot"/>
      <sheetName val="TTGD2"/>
      <sheetName val="10000000"/>
      <sheetName val="NC"/>
      <sheetName val="VL"/>
      <sheetName val="THDT"/>
      <sheetName val="2001"/>
      <sheetName val="T.H 01"/>
      <sheetName val="2000"/>
      <sheetName val="THtoanbo"/>
      <sheetName val="THboxung"/>
      <sheetName val="PTVT"/>
      <sheetName val="CLechVTSon5.5.03"/>
      <sheetName val="THKPBXSon5.5.03"/>
      <sheetName val="BXSon+binh5.5.03"/>
      <sheetName val="thau"/>
      <sheetName val="XXXXXXXX"/>
      <sheetName val="XXXXXXX0"/>
      <sheetName val="XXXXXXX1"/>
      <sheetName val="XXXXXXX2"/>
      <sheetName val="XXXXXXX3"/>
      <sheetName val="XXXXXXX4"/>
      <sheetName val="XXXXXXX5"/>
      <sheetName val="BIA"/>
      <sheetName val="THQT"/>
      <sheetName val="CT HT"/>
      <sheetName val="B tinh"/>
      <sheetName val="XD"/>
      <sheetName val="TH VT A"/>
      <sheetName val="DKTT"/>
      <sheetName val="N-luc"/>
      <sheetName val="TH-Tai trong"/>
      <sheetName val="Xamu"/>
      <sheetName val="Than tru"/>
      <sheetName val="Be coc"/>
      <sheetName val="PTDDat-Tru"/>
      <sheetName val="PTDDat-nhip"/>
      <sheetName val="PTDDat-nhipLT"/>
      <sheetName val="UNIT"/>
      <sheetName val="Piers of Main Flyover (1)"/>
      <sheetName val="Cot Tru1"/>
      <sheetName val="P3-TanAn-Factored"/>
      <sheetName val="P4-TanAn-Factored"/>
      <sheetName val="COC KHOAN M1"/>
      <sheetName val="COC KHOAN M2"/>
      <sheetName val="COC KHOAN T1"/>
      <sheetName val="COC KHOAN T5"/>
      <sheetName val="COC KHOAN T4"/>
      <sheetName val="COC DONG"/>
      <sheetName val="BANG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Vatlieu"/>
      <sheetName val="DgDuong"/>
      <sheetName val="dgmo-tru"/>
      <sheetName val="dgdam"/>
      <sheetName val="Dam-Mo-Tru"/>
      <sheetName val="dgcong"/>
      <sheetName val="DPD"/>
      <sheetName val="DTDuong"/>
      <sheetName val="GTXLc"/>
      <sheetName val="CPXLk"/>
      <sheetName val="DBu"/>
      <sheetName val="KPTH"/>
      <sheetName val="Bang KL ket cau"/>
      <sheetName val="tuyen"/>
      <sheetName val="dgcoc"/>
      <sheetName val="CP3-3nhip(L=130,251m)(OK)"/>
      <sheetName val="CP4-7nhip(L=289,384m)(OK)"/>
      <sheetName val="CP5-3nhip(L=130,27m)(OK)"/>
      <sheetName val="CP6-4nhip(L=170,5m)(OK)"/>
      <sheetName val="GTXLc-Doan2"/>
      <sheetName val="do xe"/>
      <sheetName val="GT do xe"/>
      <sheetName val="Bieu TH"/>
      <sheetName val="TH lop khoan"/>
      <sheetName val="cdkhoan"/>
      <sheetName val="DG cau"/>
      <sheetName val="PA1-Cau banDUL(1x12m)"/>
      <sheetName val="PA2-Cong ds 2(3x3,5)"/>
      <sheetName val="XL(chinh+khac)"/>
      <sheetName val="S-VK (I)"/>
      <sheetName val="Bang KL"/>
      <sheetName val="CP1-3nhip(L=130,4m)"/>
      <sheetName val="CP2-4nhip(L=170,4m)"/>
      <sheetName val="CP6-4nhip(L=170,4m)"/>
      <sheetName val="KL nhip"/>
      <sheetName val="KL-6cau"/>
      <sheetName val="Gia da dam"/>
      <sheetName val="Gia VLXD"/>
      <sheetName val="NMQII-100"/>
      <sheetName val="NMQII"/>
      <sheetName val="MTQII"/>
      <sheetName val="CTYQII"/>
      <sheetName val="PTVT goc"/>
      <sheetName val="DG goc"/>
      <sheetName val="CLVL goc"/>
      <sheetName val="khoi luong"/>
      <sheetName val="ptxd"/>
      <sheetName val="ptnuoc"/>
      <sheetName val="bu gia"/>
      <sheetName val="bien ban"/>
      <sheetName val="20000000"/>
      <sheetName val="QuyI"/>
      <sheetName val="QuyII"/>
      <sheetName val="QUYIII"/>
      <sheetName val="QUYIV"/>
      <sheetName val="quy1"/>
      <sheetName val="QUY2"/>
      <sheetName val="QUY3"/>
      <sheetName val="QUY4"/>
      <sheetName val="q2"/>
      <sheetName val="q3"/>
      <sheetName val="q4"/>
      <sheetName val="T8"/>
      <sheetName val="TH8T"/>
      <sheetName val="T9"/>
      <sheetName val="T10"/>
      <sheetName val="VT10"/>
      <sheetName val="VT11"/>
      <sheetName val="VT11 (2)"/>
      <sheetName val="Q1-02"/>
      <sheetName val="Q2-02"/>
      <sheetName val="Q3-02"/>
      <sheetName val="GTXL"/>
      <sheetName val="dgchitiet"/>
      <sheetName val="DTCong"/>
      <sheetName val="KLuong(cong)"/>
      <sheetName val="DHai(banDUL-5x20,05m)"/>
      <sheetName val="KVinh(banDUL-3x21,05m)"/>
      <sheetName val="KLuong(Cau)"/>
      <sheetName val="M"/>
      <sheetName val="GTXLk"/>
      <sheetName val="dg(cau)"/>
      <sheetName val="DT(KVinh)"/>
      <sheetName val="DT(DHai)"/>
      <sheetName val="KL"/>
      <sheetName val="DT(cong)"/>
      <sheetName val="CTXD"/>
      <sheetName val="30000000"/>
      <sheetName val="Bang TH"/>
      <sheetName val="ktcau"/>
      <sheetName val="KTcaulon"/>
      <sheetName val="DGia"/>
      <sheetName val="Vuot can(81-110)-ok"/>
      <sheetName val="L4,T5 nuoc(81-110)-ok"/>
      <sheetName val="L,T,nuoc+can(70-81)-ok"/>
      <sheetName val="Vuot can(35-70)-ok"/>
      <sheetName val="L,T,N nuoc (35-70)-ok"/>
      <sheetName val="L,T,N nuoc (0-35)-ok"/>
      <sheetName val="Vuot can(0-35)-ok"/>
      <sheetName val="Duong(0-35)-ok"/>
      <sheetName val="KL-Cau lon"/>
      <sheetName val="KL-Cau trung"/>
      <sheetName val="KL-Cau vuot nut"/>
      <sheetName val="1nhip"/>
      <sheetName val="TH Cau-PA kien nghi"/>
      <sheetName val="L(4),T(5) nuoc(81-110)"/>
      <sheetName val="Vuot can7 (81-110)"/>
      <sheetName val="Luong"/>
      <sheetName val="DG chitiet"/>
      <sheetName val="KLcau"/>
      <sheetName val="Yalop(5x33m)-TDUL"/>
      <sheetName val="Gia tri XLc"/>
      <sheetName val="6-Cau lon (CLH) ok"/>
      <sheetName val="3-L,T,nuoc+can(70-81)-PA1,2,3"/>
      <sheetName val="5-L,T,N (110-131+008)-PA1,2,3"/>
      <sheetName val="5-Nut (110-131+008)-PA1,2,3"/>
      <sheetName val="4-Vuot can(81-110)-PA1,2,3"/>
      <sheetName val="2-T,N nuoc (35-70)-PA1,2,3"/>
      <sheetName val="2-Lon nuoc (35-70)-PA1,2,3"/>
      <sheetName val="2-Vuot can(35-70)-PA1,2,3"/>
      <sheetName val="1-Trung(0-35) PA1,2,3"/>
      <sheetName val="1-L,N nuoc (0-35) PA1&amp;2 "/>
      <sheetName val="1-L,N nuoc (0-35) PA3 "/>
      <sheetName val="1-Vuot can(0-35) PA1,2,3"/>
      <sheetName val="4-L4,T5 nuoc(81-110)-PA1,2,3"/>
      <sheetName val="Cong(0-131)-PA3"/>
      <sheetName val="Cong(0-131)- PA2"/>
      <sheetName val="Cong(0-131)- PA1"/>
      <sheetName val="TienXL-3PA"/>
      <sheetName val="TienXL-PA1,2"/>
      <sheetName val="Cong(KM1+640-KM5+540)"/>
      <sheetName val="KM 209(1x18m)-Tthuong"/>
      <sheetName val="KM 205(1x12m)-BanDUL"/>
      <sheetName val="GTXL-PA1"/>
      <sheetName val="GTXL-PA2"/>
      <sheetName val="GTXL-PA3"/>
      <sheetName val="1 nhip"/>
      <sheetName val="THKL"/>
      <sheetName val="Tach XL"/>
      <sheetName val="KL cau Bac Phu Cat"/>
      <sheetName val="Dam, mo, tru"/>
      <sheetName val="Tuong chan"/>
      <sheetName val="dgchitiet-cau"/>
      <sheetName val="GTXL(03)"/>
      <sheetName val="Gia VL"/>
      <sheetName val="CPXD(03+04)"/>
      <sheetName val="dgphu"/>
      <sheetName val="GTXL(TT03)"/>
      <sheetName val="May"/>
      <sheetName val="VLieu"/>
      <sheetName val="GTXL(TT03-2005)"/>
      <sheetName val="CP1-3nhip(L=130,40m)"/>
      <sheetName val="CP2-4nhip(L=170,40m)"/>
      <sheetName val="KLTB- 2"/>
      <sheetName val="KLTB- 1"/>
      <sheetName val="Thep"/>
      <sheetName val="KL chi tiet"/>
      <sheetName val="THKP-TT03+04(sauduyet)"/>
      <sheetName val="KM0"/>
      <sheetName val="He so(TT03+04)"/>
      <sheetName val="PL Vua(DTTK)"/>
      <sheetName val="dgchitiet(TT03+04)"/>
      <sheetName val="Dieu phoi(DTTK)"/>
      <sheetName val="DTduong(TT03+04)"/>
      <sheetName val="KLduong(duyet)"/>
      <sheetName val="Cau chinh (dam)-TT03+04"/>
      <sheetName val="Cau chinh (motru)-TT03+04"/>
      <sheetName val="KC dam ban(TT03+04)"/>
      <sheetName val="KL-cau"/>
      <sheetName val="KL-nhip dam"/>
      <sheetName val="KL-coc"/>
      <sheetName val="Thi cong"/>
      <sheetName val="Vat Lieu "/>
      <sheetName val="CP3-3nhip(L=130,423m)"/>
      <sheetName val="KLTB- 3"/>
      <sheetName val="CP5-3nhip(L=130,27m)"/>
      <sheetName val="KLTB- 5"/>
      <sheetName val="CP6-4nhip(L=170,40m)"/>
      <sheetName val="GTXL(TT03+04)"/>
      <sheetName val="KLTB- 6"/>
      <sheetName val="NhapSL"/>
      <sheetName val="TH cac DG"/>
      <sheetName val="DGTH"/>
      <sheetName val="CTcongtron"/>
      <sheetName val="Gia 1m3 dam"/>
      <sheetName val="KLVL 1nhip"/>
      <sheetName val="DG #"/>
      <sheetName val="1md cong ban"/>
      <sheetName val="Be day cong"/>
      <sheetName val="00000001"/>
      <sheetName val="Khoan diachat"/>
      <sheetName val="GTXL-Cau"/>
      <sheetName val="DHai(ban-5x20,05m;coc40x40)"/>
      <sheetName val="KVinh(ban-3x21,05m;PA2)"/>
      <sheetName val="KVinh(ban-3x24m;PA1)"/>
      <sheetName val="Thang_1"/>
      <sheetName val="Thang_2"/>
      <sheetName val="Thang_3"/>
      <sheetName val="Thang_4"/>
      <sheetName val="Chitiet"/>
      <sheetName val="PTich"/>
      <sheetName val="TongHop"/>
      <sheetName val="NhapCN"/>
      <sheetName val="THBaocao"/>
      <sheetName val="THThang"/>
      <sheetName val="CAN DOI"/>
      <sheetName val="PTPT"/>
      <sheetName val="TK 141"/>
      <sheetName val="NO CTy"/>
      <sheetName val="XL4Test5"/>
      <sheetName val="Chart1"/>
      <sheetName val="Phantich"/>
      <sheetName val="Toan_DA"/>
      <sheetName val="2004"/>
      <sheetName val="2005"/>
      <sheetName val="CPTK"/>
      <sheetName val="DMTK"/>
      <sheetName val="DGiaCTiet"/>
      <sheetName val="DTCT"/>
      <sheetName val="THKP (2)"/>
      <sheetName val="TM"/>
      <sheetName val="BU-gian"/>
      <sheetName val="Bu-Ha"/>
      <sheetName val="Gia DAN"/>
      <sheetName val="Dan"/>
      <sheetName val="Cuoc"/>
      <sheetName val="Bugia"/>
      <sheetName val="VT"/>
      <sheetName val="KL57"/>
      <sheetName val="00000002"/>
      <sheetName val="00000003"/>
      <sheetName val="00000004"/>
      <sheetName val="HC-01"/>
      <sheetName val="HC-02"/>
      <sheetName val="HC-03"/>
      <sheetName val="HC-04"/>
      <sheetName val="HC-05"/>
      <sheetName val="HC-06"/>
      <sheetName val="HC-07"/>
      <sheetName val="HC-08"/>
      <sheetName val="HC-09"/>
      <sheetName val="HC-10"/>
      <sheetName val="HC-11"/>
      <sheetName val="HC-12"/>
      <sheetName val="HC-13"/>
      <sheetName val="HC-14"/>
      <sheetName val="HC-15"/>
      <sheetName val="HC-16"/>
      <sheetName val="HC-17"/>
      <sheetName val="HC-18"/>
      <sheetName val="Bia1"/>
      <sheetName val="THKC"/>
      <sheetName val="THKC (2)"/>
      <sheetName val="THKC (3)"/>
      <sheetName val="VtuB"/>
      <sheetName val="VtuA"/>
      <sheetName val="CAMmoi"/>
      <sheetName val="CAM1"/>
      <sheetName val="CAMcu"/>
      <sheetName val="CAM2"/>
      <sheetName val="0002"/>
      <sheetName val="0003"/>
      <sheetName val="0004"/>
      <sheetName val="005"/>
      <sheetName val="0006"/>
      <sheetName val="0007"/>
      <sheetName val="0008"/>
      <sheetName val="009"/>
      <sheetName val="stabguide"/>
      <sheetName val="riser 02.01"/>
      <sheetName val="TONG CONG "/>
      <sheetName val="T3(9)"/>
      <sheetName val="T2(9)"/>
      <sheetName val="T5(10)"/>
      <sheetName val="T4(10)"/>
      <sheetName val="T3(10)"/>
      <sheetName val="T2(10)"/>
      <sheetName val="T1(10)"/>
      <sheetName val="T4(9)"/>
      <sheetName val="T1(9)"/>
      <sheetName val="T4(T8)"/>
      <sheetName val="T3(T8]"/>
      <sheetName val="T2(T8]"/>
      <sheetName val="T1(T8]"/>
      <sheetName val="T4(T7}"/>
      <sheetName val="T3(T7]"/>
      <sheetName val="T2(T7]"/>
      <sheetName val="T1(T7]"/>
      <sheetName val="T3[6]"/>
      <sheetName val="T2[6]"/>
      <sheetName val="T1(6)"/>
      <sheetName val="T4(05)"/>
      <sheetName val="T3(05)"/>
      <sheetName val="T2(05)"/>
      <sheetName val="T3(3)03"/>
      <sheetName val="T1(04)"/>
      <sheetName val="T5(03)"/>
      <sheetName val="T4(03)"/>
      <sheetName val="KHTC 2004 "/>
      <sheetName val="Bao cao Quy"/>
      <sheetName val="Bao cao thuc hien KH"/>
      <sheetName val="CP thang 10"/>
      <sheetName val="Gia thanh Sx"/>
      <sheetName val="KH thang 9+10"/>
      <sheetName val="KH tu 15-08"/>
      <sheetName val="KH TC -2 Da nop Cty"/>
      <sheetName val="KH TC T8"/>
      <sheetName val="00000005"/>
      <sheetName val="00000006"/>
      <sheetName val="00000007"/>
      <sheetName val="phu luc "/>
      <sheetName val="PT VT "/>
      <sheetName val="c. lech v t"/>
      <sheetName val="Q.Tc.xanh  "/>
      <sheetName val="Tang giam KL "/>
      <sheetName val="CP6-4nhip(L=170,5e)(OK)"/>
      <sheetName val="THop"/>
      <sheetName val="GTXL "/>
      <sheetName val="ptdg"/>
      <sheetName val="vc-tau"/>
      <sheetName val="O-to"/>
      <sheetName val="gia"/>
      <sheetName val="KS"/>
      <sheetName val="DGKS"/>
      <sheetName val="TK"/>
      <sheetName val="TKP-Hang"/>
      <sheetName val="TH-hang"/>
      <sheetName val="KL Tram Cty"/>
      <sheetName val="Gam may Cty"/>
      <sheetName val="KL tram KH"/>
      <sheetName val="Gam may KH"/>
      <sheetName val="Cach dien"/>
      <sheetName val="Mang tai"/>
      <sheetName val="KL DDK"/>
      <sheetName val="Mang tai DDK"/>
      <sheetName val="KL DDK0,4"/>
      <sheetName val="TT Ky thuat"/>
      <sheetName val="CT moi"/>
      <sheetName val="Tu dien"/>
      <sheetName val="May cat"/>
      <sheetName val="Dao Cly"/>
      <sheetName val="Dao Ptai"/>
      <sheetName val="Tu RMU"/>
      <sheetName val="C.set"/>
      <sheetName val="SI"/>
      <sheetName val="Sco Cap"/>
      <sheetName val="Sco TB"/>
      <sheetName val="TN tram"/>
      <sheetName val="TN C.set"/>
      <sheetName val="TN TD DDay"/>
      <sheetName val="Phan chung"/>
      <sheetName val="Sluong"/>
      <sheetName val="t1e21"/>
      <sheetName val="t1e20"/>
      <sheetName val="t1e18"/>
      <sheetName val="t2e17"/>
      <sheetName val="t1e17"/>
      <sheetName val="t1e15"/>
      <sheetName val="t2e14"/>
      <sheetName val="t1e14"/>
      <sheetName val="t2e13"/>
      <sheetName val="t1e13"/>
      <sheetName val="t2e12"/>
      <sheetName val="t1e12"/>
      <sheetName val="t2e11"/>
      <sheetName val="t1e11"/>
      <sheetName val="t2e10"/>
      <sheetName val="t1e10"/>
      <sheetName val="t3e9"/>
      <sheetName val="t2e9"/>
      <sheetName val="t1e9"/>
      <sheetName val="t3e8"/>
      <sheetName val="t2e8"/>
      <sheetName val="t1e8cu"/>
      <sheetName val="t3e5"/>
      <sheetName val="t2e5"/>
      <sheetName val="t1e5moi"/>
      <sheetName val="t1e5cu"/>
      <sheetName val="t2e2"/>
      <sheetName val="t1e2"/>
      <sheetName val="t3e1"/>
      <sheetName val="t2e1"/>
      <sheetName val="t1e1"/>
      <sheetName val="CF"/>
      <sheetName val="Trich 154"/>
      <sheetName val="Van Son"/>
      <sheetName val="Nga"/>
      <sheetName val="Bac"/>
      <sheetName val="Dung"/>
      <sheetName val="Minh"/>
      <sheetName val="TSon"/>
      <sheetName val="THi-VAn"/>
      <sheetName val="Ky"/>
      <sheetName val="Tien"/>
      <sheetName val="Van"/>
      <sheetName val="Hoang "/>
      <sheetName val="MTuan"/>
      <sheetName val="VINH"/>
      <sheetName val="CUONG"/>
      <sheetName val="Hoai"/>
      <sheetName val="THANH"/>
      <sheetName val="Sau"/>
      <sheetName val="Linh"/>
      <sheetName val="ngatt"/>
      <sheetName val="Ba-02"/>
      <sheetName val="Bac-2"/>
      <sheetName val="Dong"/>
      <sheetName val="Hung"/>
      <sheetName val="CT3-138"/>
      <sheetName val="CT4-138-01"/>
      <sheetName val="CT138-1-02"/>
      <sheetName val="338"/>
      <sheetName val="T12-01"/>
      <sheetName val="T1-02"/>
      <sheetName val="T5"/>
      <sheetName val="T6"/>
      <sheetName val="T7"/>
      <sheetName val="T11"/>
      <sheetName val="T12"/>
      <sheetName val="CTCN"/>
      <sheetName val="QTHD"/>
      <sheetName val="CW of Hoabinh  2002"/>
      <sheetName val=" Goods of Hoabinh 2002 "/>
      <sheetName val="BC"/>
      <sheetName val="Chi tiet"/>
      <sheetName val="Vat tu"/>
      <sheetName val="Thiet ke"/>
      <sheetName val="TH KL,VT,KP"/>
      <sheetName val="Den bu"/>
      <sheetName val="BC ton quy"/>
      <sheetName val="Chi NH"/>
      <sheetName val="TT CAT KCN"/>
      <sheetName val="Chi KHAC"/>
      <sheetName val="THU BaNNHA"/>
      <sheetName val="THU KHAC"/>
      <sheetName val="TH"/>
      <sheetName val="Dot 2 (2)"/>
      <sheetName val="Lai qua han"/>
      <sheetName val="Lai QH 18-3"/>
      <sheetName val="TBao 1"/>
      <sheetName val="TBao 2"/>
      <sheetName val="TH Dot 1 SUA"/>
      <sheetName val="Dot 1 goc"/>
      <sheetName val="Dienthoai 1 Thi"/>
      <sheetName val="Dot 1 chuan"/>
      <sheetName val="TH Dot 2 SUA"/>
      <sheetName val="Nha tho 1"/>
      <sheetName val="Dienthoai 1"/>
      <sheetName val="Nha tho"/>
      <sheetName val="Dienthoai 2"/>
      <sheetName val="Nha tho 1 (2)"/>
      <sheetName val="Mat Bang - HD"/>
      <sheetName val="Lai QH 25-5"/>
      <sheetName val="Dot 2 chuan"/>
      <sheetName val="Dienthoai 2 Thi"/>
      <sheetName val="TH Dot 1 Thi"/>
      <sheetName val="TH Dot 2 Thi"/>
      <sheetName val="TB Noptien D2"/>
      <sheetName val="Dot 2 theo PT"/>
      <sheetName val="Tien ung"/>
      <sheetName val="PHONG"/>
      <sheetName val="phi luong3"/>
      <sheetName val="DZThotNot-CD-TBien&amp;tramChauDoc"/>
      <sheetName val="Tram220ChauDoc-M2"/>
      <sheetName val="Tram220BenTre-M1&amp;2"/>
      <sheetName val="Tram220LongAn-M1&amp;2"/>
      <sheetName val="Tram220MyTho-M2"/>
      <sheetName val="DZ220TDinh-TBang-nantuyen"/>
      <sheetName val="DZ110ChauDoc-TriTon"/>
      <sheetName val="Tram110TriTon"/>
      <sheetName val="DZ110DucHoa-TrangBang"/>
      <sheetName val="DZ110XuanTruong-DucLinh"/>
      <sheetName val="DZ&amp;Tram110BinhHoa-AnPhu"/>
      <sheetName val="Tram110BauBeo&amp;DN"/>
      <sheetName val="N1111"/>
      <sheetName val="C1111"/>
      <sheetName val="1121"/>
      <sheetName val="daura"/>
      <sheetName val="dauvao"/>
      <sheetName val="#REF"/>
      <sheetName val="THVT"/>
      <sheetName val="PHAN TICH DON GIA"/>
      <sheetName val="DONGIA DU TOAN"/>
      <sheetName val="THKP"/>
      <sheetName val="40000000"/>
      <sheetName val="th01.05-kh02.05"/>
      <sheetName val="th02.05-kh03.05"/>
      <sheetName val="KPsaudc"/>
      <sheetName val="GiaVL"/>
      <sheetName val="Dam(Sua sau TT)"/>
      <sheetName val="DG mo, tru(Sua sau TT)"/>
      <sheetName val="Coc(Sua sau TT)"/>
      <sheetName val="Duong(Sua sau TT)"/>
      <sheetName val="DPDat(Sau TT)"/>
      <sheetName val="DTCT(dc TT03&amp;04) "/>
      <sheetName val="Denbu"/>
      <sheetName val="50000000"/>
      <sheetName val="Du toan"/>
      <sheetName val="Phan tich vat tu"/>
      <sheetName val="Tong hop vat tu"/>
      <sheetName val="Gia tri vat tu"/>
      <sheetName val="Chenh lech vat tu"/>
      <sheetName val="Chi phi van chuyen"/>
      <sheetName val="Don gia chi tiet"/>
      <sheetName val="Du thau"/>
      <sheetName val="Tong hop kinh phi"/>
      <sheetName val="Tu van Thiet ke"/>
      <sheetName val="Tien do thi cong"/>
      <sheetName val="Bia du toan"/>
      <sheetName val="Tro giup"/>
      <sheetName val="Config"/>
      <sheetName val="TONG HOP "/>
      <sheetName val="DGCT"/>
      <sheetName val="THDG"/>
      <sheetName val="ct9604"/>
      <sheetName val="B ke"/>
      <sheetName val="K luong"/>
      <sheetName val="VL-NC-M"/>
      <sheetName val="C.tinh DG"/>
      <sheetName val="C.tinh BT"/>
      <sheetName val="Mong"/>
      <sheetName val="Bu VL"/>
      <sheetName val="V.C ngoai tuyen"/>
      <sheetName val="Trung chuyen"/>
      <sheetName val="V.C noi tuyen"/>
      <sheetName val="Cu lyVC noi tuyen"/>
      <sheetName val="CT-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t gso 2006-2010"/>
      <sheetName val="NSNNTPCP2006-2010 "/>
      <sheetName val="dt gso 2011-2015"/>
      <sheetName val="NSNNTPCP2011-2015"/>
      <sheetName val="NSNNTPCP5namgoc"/>
      <sheetName val="NSNN2006-2010"/>
      <sheetName val="TPCP2006-2010 "/>
      <sheetName val="TPCP2006-2010  (2)"/>
      <sheetName val="NSNN2011-2015"/>
      <sheetName val="TPCP2011-2015"/>
      <sheetName val="cc2006-2010"/>
      <sheetName val="NSNN2006-2010 (2)"/>
      <sheetName val="cc2011-2015"/>
      <sheetName val="cc2006-2010 (2)"/>
      <sheetName val="cc2006"/>
      <sheetName val="cc2011"/>
      <sheetName val="cc2010"/>
      <sheetName val="cc2009"/>
      <sheetName val="cc2008"/>
      <sheetName val="cc2007"/>
    </sheetNames>
    <sheetDataSet>
      <sheetData sheetId="10">
        <row r="14">
          <cell r="I14">
            <v>880</v>
          </cell>
        </row>
        <row r="15">
          <cell r="I15">
            <v>141425.55204045697</v>
          </cell>
        </row>
        <row r="32">
          <cell r="I32">
            <v>1.5110423605690986</v>
          </cell>
        </row>
        <row r="69">
          <cell r="I69">
            <v>21.011163782392615</v>
          </cell>
        </row>
        <row r="101">
          <cell r="I101">
            <v>22.87292299538776</v>
          </cell>
        </row>
        <row r="117">
          <cell r="I117">
            <v>1.1020520368010418</v>
          </cell>
        </row>
        <row r="126">
          <cell r="I126">
            <v>0.7774754214980679</v>
          </cell>
        </row>
        <row r="138">
          <cell r="I138">
            <v>3.9664645518173423</v>
          </cell>
        </row>
        <row r="153">
          <cell r="I153">
            <v>3.549358604281097</v>
          </cell>
        </row>
        <row r="162">
          <cell r="I162">
            <v>2.0889452077367694</v>
          </cell>
        </row>
        <row r="190">
          <cell r="I190">
            <v>17.562385044037015</v>
          </cell>
        </row>
        <row r="212">
          <cell r="I212">
            <v>5.669818776670653</v>
          </cell>
        </row>
        <row r="236">
          <cell r="I236">
            <v>3.861700500693786</v>
          </cell>
        </row>
        <row r="270">
          <cell r="I270">
            <v>2.7576199135928907</v>
          </cell>
        </row>
        <row r="275">
          <cell r="I275">
            <v>0.7702240613617725</v>
          </cell>
        </row>
        <row r="294">
          <cell r="I294">
            <v>7.96937650762732</v>
          </cell>
        </row>
        <row r="302">
          <cell r="I302">
            <v>3.2779083645887823</v>
          </cell>
        </row>
        <row r="310">
          <cell r="I310">
            <v>1.251541870943989</v>
          </cell>
        </row>
        <row r="311">
          <cell r="D311">
            <v>943</v>
          </cell>
          <cell r="E311">
            <v>889.56</v>
          </cell>
          <cell r="F311">
            <v>477</v>
          </cell>
          <cell r="G311">
            <v>191.2</v>
          </cell>
          <cell r="H311">
            <v>482.2</v>
          </cell>
          <cell r="I311">
            <v>494.5</v>
          </cell>
        </row>
      </sheetData>
      <sheetData sheetId="14">
        <row r="7">
          <cell r="C7">
            <v>100</v>
          </cell>
        </row>
        <row r="8">
          <cell r="C8">
            <v>20</v>
          </cell>
        </row>
        <row r="9">
          <cell r="C9">
            <v>300</v>
          </cell>
        </row>
        <row r="10">
          <cell r="C10">
            <v>2000</v>
          </cell>
        </row>
        <row r="11">
          <cell r="C11">
            <v>150</v>
          </cell>
        </row>
      </sheetData>
      <sheetData sheetId="15">
        <row r="5">
          <cell r="H5">
            <v>152000.05204045697</v>
          </cell>
        </row>
        <row r="6">
          <cell r="H6">
            <v>10080</v>
          </cell>
        </row>
        <row r="7">
          <cell r="H7">
            <v>180</v>
          </cell>
        </row>
        <row r="8">
          <cell r="H8">
            <v>200</v>
          </cell>
        </row>
        <row r="9">
          <cell r="H9">
            <v>4500</v>
          </cell>
        </row>
        <row r="10">
          <cell r="H10">
            <v>3500</v>
          </cell>
        </row>
        <row r="11">
          <cell r="H11">
            <v>820</v>
          </cell>
        </row>
        <row r="12">
          <cell r="H12">
            <v>880</v>
          </cell>
        </row>
      </sheetData>
      <sheetData sheetId="16">
        <row r="8">
          <cell r="H8">
            <v>200</v>
          </cell>
        </row>
        <row r="9">
          <cell r="H9">
            <v>200</v>
          </cell>
        </row>
        <row r="10">
          <cell r="H10">
            <v>3700</v>
          </cell>
        </row>
        <row r="11">
          <cell r="H11">
            <v>3500</v>
          </cell>
        </row>
        <row r="12">
          <cell r="H12">
            <v>300</v>
          </cell>
        </row>
        <row r="13">
          <cell r="H13">
            <v>800</v>
          </cell>
        </row>
        <row r="154">
          <cell r="C154">
            <v>5678.5351351351355</v>
          </cell>
        </row>
        <row r="170">
          <cell r="C170">
            <v>3495.644123500466</v>
          </cell>
        </row>
        <row r="192">
          <cell r="H192">
            <v>3696.5592327232416</v>
          </cell>
        </row>
        <row r="211">
          <cell r="H211">
            <v>825.9747553902912</v>
          </cell>
        </row>
      </sheetData>
      <sheetData sheetId="17">
        <row r="8">
          <cell r="C8">
            <v>200</v>
          </cell>
        </row>
        <row r="9">
          <cell r="C9">
            <v>200</v>
          </cell>
        </row>
        <row r="10">
          <cell r="C10">
            <v>3700</v>
          </cell>
        </row>
        <row r="11">
          <cell r="C11">
            <v>4900</v>
          </cell>
        </row>
        <row r="12">
          <cell r="C12">
            <v>160</v>
          </cell>
        </row>
        <row r="13">
          <cell r="C13">
            <v>800</v>
          </cell>
        </row>
      </sheetData>
      <sheetData sheetId="18">
        <row r="8">
          <cell r="C8">
            <v>200</v>
          </cell>
        </row>
        <row r="9">
          <cell r="C9">
            <v>200</v>
          </cell>
        </row>
        <row r="10">
          <cell r="C10">
            <v>2300</v>
          </cell>
        </row>
        <row r="11">
          <cell r="C11">
            <v>120</v>
          </cell>
        </row>
        <row r="12">
          <cell r="C12">
            <v>600</v>
          </cell>
        </row>
      </sheetData>
      <sheetData sheetId="19">
        <row r="8">
          <cell r="C8">
            <v>220</v>
          </cell>
        </row>
        <row r="9">
          <cell r="C9">
            <v>200</v>
          </cell>
        </row>
        <row r="10">
          <cell r="C10">
            <v>2500</v>
          </cell>
        </row>
        <row r="12">
          <cell r="C12">
            <v>1000</v>
          </cell>
        </row>
        <row r="13">
          <cell r="C13">
            <v>100</v>
          </cell>
        </row>
        <row r="244">
          <cell r="C244">
            <v>207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ieu tong hop"/>
      <sheetName val="BM1 (3)"/>
      <sheetName val="BM1 (2)"/>
      <sheetName val="PL2"/>
      <sheetName val="BM2"/>
      <sheetName val="BM2 aR"/>
      <sheetName val="BM2 b"/>
      <sheetName val="BM2cr"/>
      <sheetName val="BM3r "/>
      <sheetName val="BM4"/>
      <sheetName val="BM5 "/>
      <sheetName val="BM7 R"/>
      <sheetName val="BM8 c"/>
      <sheetName val="BM9"/>
      <sheetName val="BieunayKhongin"/>
      <sheetName val="BM10"/>
      <sheetName val="Khongin"/>
      <sheetName val="BM11R"/>
      <sheetName val="BM13"/>
      <sheetName val="PL17CCTT(khongin)"/>
      <sheetName val="Sheet3"/>
      <sheetName val="Pl14"/>
      <sheetName val="Sheet1"/>
      <sheetName val="Sheet2"/>
      <sheetName val="BM14"/>
      <sheetName val="BM15"/>
      <sheetName val="Sheet4"/>
    </sheetNames>
    <sheetDataSet>
      <sheetData sheetId="1">
        <row r="12">
          <cell r="D12">
            <v>1882.94</v>
          </cell>
          <cell r="F12">
            <v>2358.462</v>
          </cell>
          <cell r="G12">
            <v>2475.3420000000006</v>
          </cell>
          <cell r="H12">
            <v>2545.3900000000003</v>
          </cell>
          <cell r="I12">
            <v>2752.4300000000003</v>
          </cell>
          <cell r="J12">
            <v>3085.45</v>
          </cell>
        </row>
        <row r="13">
          <cell r="D13">
            <v>598.8</v>
          </cell>
          <cell r="F13">
            <v>495.7</v>
          </cell>
          <cell r="G13">
            <v>649.4</v>
          </cell>
          <cell r="H13">
            <v>961.77</v>
          </cell>
          <cell r="I13">
            <v>883.1400000000001</v>
          </cell>
          <cell r="J13">
            <v>988.69</v>
          </cell>
        </row>
        <row r="14">
          <cell r="D14">
            <v>200.93</v>
          </cell>
          <cell r="F14">
            <v>200.7</v>
          </cell>
          <cell r="G14">
            <v>288.4</v>
          </cell>
          <cell r="H14">
            <v>395.46</v>
          </cell>
          <cell r="I14">
            <v>572.96</v>
          </cell>
          <cell r="J14">
            <v>611.89</v>
          </cell>
        </row>
        <row r="15">
          <cell r="D15">
            <v>501.01</v>
          </cell>
          <cell r="F15">
            <v>513.9350549999999</v>
          </cell>
          <cell r="G15">
            <v>612.5950549999999</v>
          </cell>
          <cell r="H15">
            <v>801.225055</v>
          </cell>
          <cell r="I15">
            <v>1027.615055</v>
          </cell>
          <cell r="J15">
            <v>1182.8999999999999</v>
          </cell>
        </row>
        <row r="29">
          <cell r="D29">
            <v>477.94</v>
          </cell>
          <cell r="F29">
            <v>495.52</v>
          </cell>
          <cell r="G29">
            <v>589.03</v>
          </cell>
          <cell r="H29">
            <v>773.21</v>
          </cell>
          <cell r="I29">
            <v>998.5</v>
          </cell>
          <cell r="J29">
            <v>1144.1</v>
          </cell>
        </row>
        <row r="31">
          <cell r="D31">
            <v>41.103</v>
          </cell>
          <cell r="F31">
            <v>51.550000000000004</v>
          </cell>
          <cell r="G31">
            <v>51.583000000000006</v>
          </cell>
          <cell r="H31">
            <v>51.35900000000001</v>
          </cell>
          <cell r="I31">
            <v>51.93999999999999</v>
          </cell>
          <cell r="J31">
            <v>51.53099999999999</v>
          </cell>
        </row>
        <row r="32">
          <cell r="F32">
            <v>125.648</v>
          </cell>
          <cell r="G32">
            <v>122.191</v>
          </cell>
          <cell r="H32">
            <v>120.957</v>
          </cell>
          <cell r="I32">
            <v>130.157</v>
          </cell>
          <cell r="J32">
            <v>129.429</v>
          </cell>
        </row>
        <row r="33">
          <cell r="F33">
            <v>50</v>
          </cell>
          <cell r="G33">
            <v>54.43</v>
          </cell>
          <cell r="H33">
            <v>54.3</v>
          </cell>
          <cell r="I33">
            <v>56.14</v>
          </cell>
          <cell r="J33">
            <v>61.6</v>
          </cell>
        </row>
        <row r="34">
          <cell r="F34">
            <v>1.5</v>
          </cell>
          <cell r="G34">
            <v>1.73</v>
          </cell>
          <cell r="H34">
            <v>1.67</v>
          </cell>
          <cell r="I34">
            <v>1.64</v>
          </cell>
          <cell r="J34">
            <v>1.68</v>
          </cell>
        </row>
        <row r="35">
          <cell r="F35">
            <v>43062</v>
          </cell>
          <cell r="G35">
            <v>43087</v>
          </cell>
          <cell r="H35">
            <v>43087</v>
          </cell>
          <cell r="I35">
            <v>43715</v>
          </cell>
          <cell r="J35">
            <v>41932</v>
          </cell>
        </row>
        <row r="37">
          <cell r="F37">
            <v>25.18</v>
          </cell>
          <cell r="G37">
            <v>27.48</v>
          </cell>
          <cell r="H37">
            <v>27.66</v>
          </cell>
          <cell r="I37">
            <v>30.75</v>
          </cell>
          <cell r="J37">
            <v>31.5</v>
          </cell>
        </row>
        <row r="38">
          <cell r="F38">
            <v>51.229</v>
          </cell>
          <cell r="G38">
            <v>57.772</v>
          </cell>
          <cell r="H38">
            <v>59.805</v>
          </cell>
          <cell r="I38">
            <v>86.48</v>
          </cell>
          <cell r="J38">
            <v>82</v>
          </cell>
        </row>
        <row r="40">
          <cell r="F40">
            <v>239.121</v>
          </cell>
          <cell r="G40">
            <v>345.84</v>
          </cell>
          <cell r="H40">
            <v>331.024</v>
          </cell>
          <cell r="I40">
            <v>342.54</v>
          </cell>
        </row>
        <row r="46">
          <cell r="F46">
            <v>58.62</v>
          </cell>
          <cell r="G46">
            <v>79.38</v>
          </cell>
          <cell r="H46">
            <v>96.87</v>
          </cell>
          <cell r="I46">
            <v>53.36</v>
          </cell>
        </row>
        <row r="47">
          <cell r="F47">
            <v>20.973</v>
          </cell>
          <cell r="G47">
            <v>40.203</v>
          </cell>
          <cell r="H47">
            <v>63.193</v>
          </cell>
          <cell r="I47">
            <v>45.15</v>
          </cell>
          <cell r="J47">
            <v>27.94</v>
          </cell>
        </row>
        <row r="49">
          <cell r="F49">
            <v>30.71</v>
          </cell>
          <cell r="G49">
            <v>47.01</v>
          </cell>
          <cell r="H49">
            <v>41.75</v>
          </cell>
          <cell r="I49">
            <v>5.06</v>
          </cell>
        </row>
        <row r="50">
          <cell r="F50">
            <v>2</v>
          </cell>
          <cell r="I50">
            <v>6</v>
          </cell>
        </row>
        <row r="51">
          <cell r="F51">
            <v>45.5</v>
          </cell>
          <cell r="G51">
            <v>50</v>
          </cell>
          <cell r="H51">
            <v>68.2</v>
          </cell>
          <cell r="I51">
            <v>100</v>
          </cell>
        </row>
        <row r="55">
          <cell r="F55">
            <v>495.6</v>
          </cell>
          <cell r="G55">
            <v>369.9</v>
          </cell>
          <cell r="H55">
            <v>1266.7</v>
          </cell>
          <cell r="I55">
            <v>532.5</v>
          </cell>
        </row>
        <row r="58">
          <cell r="F58">
            <v>65721</v>
          </cell>
          <cell r="G58">
            <v>67298</v>
          </cell>
          <cell r="H58">
            <v>69006</v>
          </cell>
          <cell r="I58">
            <v>70583</v>
          </cell>
          <cell r="K58">
            <v>72083</v>
          </cell>
        </row>
        <row r="59">
          <cell r="F59">
            <v>1.6</v>
          </cell>
          <cell r="G59">
            <v>1.53</v>
          </cell>
          <cell r="H59">
            <v>1.35</v>
          </cell>
          <cell r="I59">
            <v>1.35</v>
          </cell>
        </row>
        <row r="61">
          <cell r="F61">
            <v>1.08</v>
          </cell>
          <cell r="G61">
            <v>1.2</v>
          </cell>
          <cell r="H61">
            <v>2.8</v>
          </cell>
          <cell r="I61">
            <v>0.6</v>
          </cell>
        </row>
        <row r="65">
          <cell r="F65">
            <v>17</v>
          </cell>
          <cell r="G65">
            <v>19.5</v>
          </cell>
          <cell r="H65">
            <v>22</v>
          </cell>
          <cell r="I65">
            <v>26.8</v>
          </cell>
        </row>
        <row r="67">
          <cell r="F67">
            <v>75.35</v>
          </cell>
          <cell r="G67">
            <v>81.5</v>
          </cell>
          <cell r="H67">
            <v>79.9</v>
          </cell>
          <cell r="I67">
            <v>85.4</v>
          </cell>
        </row>
        <row r="69">
          <cell r="F69">
            <v>96</v>
          </cell>
          <cell r="G69">
            <v>96</v>
          </cell>
          <cell r="H69">
            <v>97</v>
          </cell>
          <cell r="I69">
            <v>98</v>
          </cell>
        </row>
        <row r="73">
          <cell r="F73">
            <v>11.4</v>
          </cell>
          <cell r="G73">
            <v>11.9</v>
          </cell>
          <cell r="H73">
            <v>11.5</v>
          </cell>
          <cell r="I73">
            <v>12.7</v>
          </cell>
        </row>
        <row r="74">
          <cell r="F74">
            <v>3.9</v>
          </cell>
          <cell r="G74">
            <v>4.01</v>
          </cell>
          <cell r="H74">
            <v>5.07</v>
          </cell>
          <cell r="I74">
            <v>5.07</v>
          </cell>
        </row>
        <row r="75">
          <cell r="F75">
            <v>31.66</v>
          </cell>
          <cell r="G75">
            <v>33.3</v>
          </cell>
          <cell r="H75">
            <v>41.6</v>
          </cell>
          <cell r="I75">
            <v>66.6</v>
          </cell>
        </row>
        <row r="76">
          <cell r="F76">
            <v>92</v>
          </cell>
          <cell r="G76">
            <v>95.9</v>
          </cell>
          <cell r="H76">
            <v>92.4</v>
          </cell>
          <cell r="I76">
            <v>70.8</v>
          </cell>
        </row>
        <row r="77">
          <cell r="F77">
            <v>25.4</v>
          </cell>
          <cell r="G77">
            <v>23.5</v>
          </cell>
          <cell r="H77">
            <v>22.3</v>
          </cell>
          <cell r="I77">
            <v>21.8</v>
          </cell>
        </row>
        <row r="78">
          <cell r="H78">
            <v>8.3</v>
          </cell>
          <cell r="I78">
            <v>16.6</v>
          </cell>
        </row>
        <row r="79">
          <cell r="F79">
            <v>62</v>
          </cell>
          <cell r="G79">
            <v>67</v>
          </cell>
          <cell r="H79">
            <v>63</v>
          </cell>
          <cell r="I79">
            <v>68.4</v>
          </cell>
        </row>
        <row r="91">
          <cell r="F91">
            <v>100</v>
          </cell>
        </row>
        <row r="92">
          <cell r="F92">
            <v>63.4</v>
          </cell>
          <cell r="G92">
            <v>64.6</v>
          </cell>
          <cell r="H92">
            <v>72.3</v>
          </cell>
        </row>
        <row r="98">
          <cell r="F98">
            <v>100</v>
          </cell>
        </row>
        <row r="99">
          <cell r="F99">
            <v>85</v>
          </cell>
          <cell r="G99">
            <v>87</v>
          </cell>
          <cell r="H99">
            <v>89</v>
          </cell>
          <cell r="I99">
            <v>91</v>
          </cell>
          <cell r="J99">
            <v>93</v>
          </cell>
        </row>
        <row r="100">
          <cell r="D100">
            <v>9.65</v>
          </cell>
          <cell r="F100">
            <v>9.89</v>
          </cell>
          <cell r="G100">
            <v>10.5</v>
          </cell>
          <cell r="H100">
            <v>14.1</v>
          </cell>
          <cell r="I100">
            <v>15.19</v>
          </cell>
          <cell r="J100">
            <v>18.25</v>
          </cell>
        </row>
        <row r="102">
          <cell r="D102">
            <v>24.7</v>
          </cell>
          <cell r="F102">
            <v>22.995079132863413</v>
          </cell>
          <cell r="G102">
            <v>18.463629303650013</v>
          </cell>
          <cell r="H102">
            <v>15.882941470735368</v>
          </cell>
          <cell r="I102">
            <v>12.566747572815535</v>
          </cell>
        </row>
        <row r="103">
          <cell r="D103">
            <v>38.38</v>
          </cell>
          <cell r="F103">
            <v>36.900036088054854</v>
          </cell>
          <cell r="G103">
            <v>32.07481209578745</v>
          </cell>
          <cell r="H103">
            <v>28.058893213741747</v>
          </cell>
          <cell r="I103">
            <v>23.026638339597973</v>
          </cell>
        </row>
        <row r="105">
          <cell r="F105">
            <v>95</v>
          </cell>
          <cell r="G105">
            <v>96.1</v>
          </cell>
          <cell r="H105">
            <v>96.22</v>
          </cell>
          <cell r="I105">
            <v>98</v>
          </cell>
        </row>
        <row r="106">
          <cell r="F106">
            <v>97</v>
          </cell>
          <cell r="G106">
            <v>97</v>
          </cell>
          <cell r="H106">
            <v>98.04</v>
          </cell>
          <cell r="I106">
            <v>100</v>
          </cell>
        </row>
        <row r="108">
          <cell r="F108">
            <v>74.40484106929112</v>
          </cell>
          <cell r="G108">
            <v>73.03908879109501</v>
          </cell>
          <cell r="H108">
            <v>73.38669334667334</v>
          </cell>
          <cell r="I108">
            <v>78.10072815533981</v>
          </cell>
        </row>
        <row r="115">
          <cell r="D115">
            <v>46.783</v>
          </cell>
          <cell r="F115">
            <v>56.147</v>
          </cell>
          <cell r="G115">
            <v>58.093</v>
          </cell>
          <cell r="H115">
            <v>61.204</v>
          </cell>
          <cell r="I115">
            <v>65.635</v>
          </cell>
        </row>
        <row r="116">
          <cell r="D116">
            <v>305</v>
          </cell>
          <cell r="F116">
            <v>326.04</v>
          </cell>
          <cell r="G116">
            <v>323.56</v>
          </cell>
          <cell r="H116">
            <v>365</v>
          </cell>
          <cell r="I116">
            <v>420</v>
          </cell>
        </row>
        <row r="119">
          <cell r="F119">
            <v>39.7</v>
          </cell>
          <cell r="G119">
            <v>40</v>
          </cell>
          <cell r="H119">
            <v>42.6</v>
          </cell>
          <cell r="I119">
            <v>32.4</v>
          </cell>
        </row>
        <row r="120">
          <cell r="F120">
            <v>0.11090000000000001</v>
          </cell>
          <cell r="G120">
            <v>0.2068</v>
          </cell>
          <cell r="H120">
            <v>0.172</v>
          </cell>
          <cell r="I120">
            <v>1.51</v>
          </cell>
        </row>
      </sheetData>
      <sheetData sheetId="2">
        <row r="12">
          <cell r="K12">
            <v>2643.4148</v>
          </cell>
        </row>
        <row r="13">
          <cell r="K13">
            <v>795.74</v>
          </cell>
        </row>
        <row r="14">
          <cell r="K14">
            <v>413.88199999999995</v>
          </cell>
        </row>
        <row r="15">
          <cell r="K15">
            <v>827.6540439999999</v>
          </cell>
        </row>
        <row r="32">
          <cell r="K32">
            <v>55.294000000000004</v>
          </cell>
        </row>
        <row r="34">
          <cell r="K34">
            <v>28.514</v>
          </cell>
        </row>
        <row r="43">
          <cell r="K43">
            <v>86.446</v>
          </cell>
        </row>
        <row r="44">
          <cell r="K44">
            <v>46.3694</v>
          </cell>
        </row>
        <row r="46">
          <cell r="K46">
            <v>179.62800000000001</v>
          </cell>
        </row>
        <row r="47">
          <cell r="K47">
            <v>22</v>
          </cell>
        </row>
        <row r="48">
          <cell r="K48">
            <v>100</v>
          </cell>
        </row>
        <row r="51">
          <cell r="K51">
            <v>36.220175630459366</v>
          </cell>
        </row>
        <row r="52">
          <cell r="K52">
            <v>3264.7</v>
          </cell>
        </row>
        <row r="95">
          <cell r="K95">
            <v>100</v>
          </cell>
        </row>
        <row r="102">
          <cell r="K102">
            <v>98</v>
          </cell>
        </row>
        <row r="108">
          <cell r="K108">
            <v>91</v>
          </cell>
        </row>
      </sheetData>
      <sheetData sheetId="5">
        <row r="6">
          <cell r="I6">
            <v>99.99999999999999</v>
          </cell>
        </row>
        <row r="7">
          <cell r="I7">
            <v>99.0195919557925</v>
          </cell>
        </row>
        <row r="8">
          <cell r="I8">
            <v>89.73407444619099</v>
          </cell>
        </row>
        <row r="9">
          <cell r="I9">
            <v>9.285517509601519</v>
          </cell>
        </row>
        <row r="10">
          <cell r="I10">
            <v>0.6128765658169798</v>
          </cell>
        </row>
        <row r="11">
          <cell r="I11">
            <v>0.3675314783905103</v>
          </cell>
        </row>
        <row r="12">
          <cell r="I12">
            <v>3085.45</v>
          </cell>
        </row>
        <row r="13">
          <cell r="I13">
            <v>3055.2</v>
          </cell>
        </row>
        <row r="14">
          <cell r="I14">
            <v>2768.7</v>
          </cell>
        </row>
        <row r="15">
          <cell r="I15">
            <v>286.5</v>
          </cell>
        </row>
        <row r="16">
          <cell r="I16">
            <v>18.91</v>
          </cell>
        </row>
        <row r="17">
          <cell r="I17">
            <v>11.34</v>
          </cell>
        </row>
        <row r="23">
          <cell r="I23">
            <v>4.62</v>
          </cell>
        </row>
        <row r="24">
          <cell r="I24">
            <v>13.839</v>
          </cell>
        </row>
        <row r="25">
          <cell r="I25">
            <v>129.429</v>
          </cell>
        </row>
        <row r="27">
          <cell r="I27">
            <v>31.002</v>
          </cell>
        </row>
        <row r="28">
          <cell r="I28">
            <v>98.427</v>
          </cell>
        </row>
        <row r="31">
          <cell r="I31">
            <v>0.005</v>
          </cell>
        </row>
        <row r="32">
          <cell r="I32">
            <v>0.25</v>
          </cell>
        </row>
        <row r="34">
          <cell r="I34">
            <v>3.725</v>
          </cell>
        </row>
        <row r="35">
          <cell r="I35">
            <v>72.265</v>
          </cell>
        </row>
        <row r="37">
          <cell r="I37">
            <v>0.3</v>
          </cell>
        </row>
        <row r="38">
          <cell r="I38">
            <v>4.26</v>
          </cell>
        </row>
        <row r="40">
          <cell r="I40">
            <v>0.262</v>
          </cell>
        </row>
        <row r="41">
          <cell r="I41">
            <v>0.524</v>
          </cell>
        </row>
        <row r="43">
          <cell r="I43">
            <v>0.085</v>
          </cell>
        </row>
        <row r="44">
          <cell r="I44">
            <v>0.085</v>
          </cell>
        </row>
        <row r="46">
          <cell r="I46">
            <v>0.511</v>
          </cell>
        </row>
        <row r="47">
          <cell r="I47">
            <v>0.614</v>
          </cell>
        </row>
        <row r="49">
          <cell r="I49">
            <v>0.645</v>
          </cell>
        </row>
        <row r="50">
          <cell r="I50">
            <v>7.74</v>
          </cell>
        </row>
        <row r="52">
          <cell r="I52">
            <v>0.21</v>
          </cell>
        </row>
        <row r="53">
          <cell r="I53">
            <v>0.318</v>
          </cell>
        </row>
        <row r="55">
          <cell r="I55">
            <v>0.398</v>
          </cell>
        </row>
        <row r="56">
          <cell r="I56">
            <v>0.057</v>
          </cell>
        </row>
        <row r="58">
          <cell r="I58">
            <v>16.355</v>
          </cell>
        </row>
        <row r="59">
          <cell r="I59">
            <v>36.166</v>
          </cell>
        </row>
        <row r="61">
          <cell r="I61">
            <v>5.94</v>
          </cell>
        </row>
        <row r="63">
          <cell r="I63">
            <v>5.741</v>
          </cell>
        </row>
        <row r="65">
          <cell r="I65">
            <v>3.65</v>
          </cell>
        </row>
        <row r="66">
          <cell r="I66">
            <v>3.635</v>
          </cell>
        </row>
        <row r="68">
          <cell r="I68">
            <v>0.543</v>
          </cell>
        </row>
        <row r="69">
          <cell r="I69">
            <v>0.816</v>
          </cell>
        </row>
        <row r="71">
          <cell r="I71">
            <v>0.443</v>
          </cell>
        </row>
        <row r="72">
          <cell r="I72">
            <v>2.828</v>
          </cell>
        </row>
        <row r="75">
          <cell r="I75">
            <v>0.65</v>
          </cell>
        </row>
        <row r="76">
          <cell r="I76">
            <v>5.807</v>
          </cell>
        </row>
        <row r="77">
          <cell r="I77">
            <v>57.5</v>
          </cell>
        </row>
        <row r="78">
          <cell r="I78">
            <v>2.685</v>
          </cell>
        </row>
        <row r="79">
          <cell r="I79">
            <v>420</v>
          </cell>
        </row>
        <row r="80">
          <cell r="I80">
            <v>5.164</v>
          </cell>
        </row>
        <row r="81">
          <cell r="H81">
            <v>8.4</v>
          </cell>
          <cell r="I81">
            <v>8.4</v>
          </cell>
        </row>
        <row r="83">
          <cell r="I83">
            <v>0.765</v>
          </cell>
        </row>
        <row r="84">
          <cell r="I84">
            <v>0.685</v>
          </cell>
        </row>
        <row r="85">
          <cell r="I85">
            <v>0.16</v>
          </cell>
        </row>
        <row r="87">
          <cell r="I87">
            <v>22.38</v>
          </cell>
        </row>
        <row r="88">
          <cell r="I88">
            <v>1.02</v>
          </cell>
        </row>
        <row r="89">
          <cell r="I89">
            <v>0.69</v>
          </cell>
        </row>
        <row r="90">
          <cell r="I90">
            <v>0.58</v>
          </cell>
        </row>
        <row r="91">
          <cell r="I91">
            <v>0</v>
          </cell>
        </row>
        <row r="92">
          <cell r="I92">
            <v>0.33</v>
          </cell>
        </row>
        <row r="93">
          <cell r="I93">
            <v>13.643</v>
          </cell>
        </row>
        <row r="94">
          <cell r="I94">
            <v>27.5</v>
          </cell>
        </row>
        <row r="95">
          <cell r="I95">
            <v>32.5</v>
          </cell>
        </row>
      </sheetData>
      <sheetData sheetId="6">
        <row r="9">
          <cell r="I9">
            <v>51531</v>
          </cell>
        </row>
        <row r="12">
          <cell r="I12">
            <v>31001.5</v>
          </cell>
        </row>
        <row r="13">
          <cell r="I13">
            <v>98427</v>
          </cell>
        </row>
        <row r="15">
          <cell r="I15">
            <v>18459</v>
          </cell>
        </row>
        <row r="16">
          <cell r="I16">
            <v>4620</v>
          </cell>
        </row>
        <row r="18">
          <cell r="I18">
            <v>1897</v>
          </cell>
        </row>
        <row r="19">
          <cell r="I19">
            <v>7.158</v>
          </cell>
        </row>
        <row r="20">
          <cell r="I20">
            <v>13658</v>
          </cell>
        </row>
        <row r="22">
          <cell r="I22">
            <v>2442</v>
          </cell>
        </row>
        <row r="23">
          <cell r="I23">
            <v>6.552866502866503</v>
          </cell>
        </row>
        <row r="24">
          <cell r="I24">
            <v>16002</v>
          </cell>
        </row>
        <row r="26">
          <cell r="I26">
            <v>200</v>
          </cell>
        </row>
        <row r="27">
          <cell r="I27">
            <v>6.127</v>
          </cell>
        </row>
        <row r="28">
          <cell r="I28">
            <v>1220</v>
          </cell>
        </row>
        <row r="30">
          <cell r="I30">
            <v>81</v>
          </cell>
        </row>
        <row r="31">
          <cell r="I31">
            <v>1.5</v>
          </cell>
        </row>
        <row r="32">
          <cell r="I32">
            <v>121.5</v>
          </cell>
        </row>
      </sheetData>
      <sheetData sheetId="8">
        <row r="8">
          <cell r="I8">
            <v>376.8</v>
          </cell>
        </row>
        <row r="9">
          <cell r="I9">
            <v>611.89</v>
          </cell>
        </row>
        <row r="12">
          <cell r="I12">
            <v>335.93</v>
          </cell>
        </row>
        <row r="13">
          <cell r="I13">
            <v>86.08</v>
          </cell>
        </row>
        <row r="14">
          <cell r="I14">
            <v>240</v>
          </cell>
        </row>
        <row r="15">
          <cell r="I15">
            <v>17.39</v>
          </cell>
        </row>
        <row r="17">
          <cell r="I17">
            <v>72.072</v>
          </cell>
        </row>
        <row r="23">
          <cell r="I23">
            <v>183.6</v>
          </cell>
        </row>
        <row r="26">
          <cell r="I26">
            <v>4.84</v>
          </cell>
        </row>
        <row r="29">
          <cell r="I29">
            <v>71.28</v>
          </cell>
        </row>
        <row r="30">
          <cell r="I30">
            <v>144</v>
          </cell>
        </row>
        <row r="32">
          <cell r="I32">
            <v>4.23</v>
          </cell>
        </row>
        <row r="35">
          <cell r="I35">
            <v>1452</v>
          </cell>
        </row>
        <row r="36">
          <cell r="I36">
            <v>63.7</v>
          </cell>
        </row>
        <row r="38">
          <cell r="I38">
            <v>98.49</v>
          </cell>
        </row>
      </sheetData>
      <sheetData sheetId="10">
        <row r="7">
          <cell r="K7">
            <v>4138.27022</v>
          </cell>
        </row>
        <row r="8">
          <cell r="K8">
            <v>4000.36</v>
          </cell>
        </row>
        <row r="9">
          <cell r="J9">
            <v>1144.1</v>
          </cell>
        </row>
        <row r="12">
          <cell r="K12">
            <v>63.480000000000004</v>
          </cell>
        </row>
        <row r="13">
          <cell r="K13">
            <v>76.45</v>
          </cell>
        </row>
        <row r="17">
          <cell r="J17">
            <v>93</v>
          </cell>
        </row>
        <row r="18">
          <cell r="J18">
            <v>18.25</v>
          </cell>
        </row>
        <row r="20">
          <cell r="J20">
            <v>15</v>
          </cell>
        </row>
        <row r="21">
          <cell r="J21">
            <v>55</v>
          </cell>
        </row>
        <row r="22">
          <cell r="J22">
            <v>3.8</v>
          </cell>
        </row>
        <row r="23">
          <cell r="J23">
            <v>35</v>
          </cell>
        </row>
        <row r="24">
          <cell r="J24">
            <v>650</v>
          </cell>
        </row>
        <row r="25">
          <cell r="J25">
            <v>35</v>
          </cell>
        </row>
      </sheetData>
      <sheetData sheetId="11">
        <row r="8">
          <cell r="K8">
            <v>0.313</v>
          </cell>
        </row>
        <row r="9">
          <cell r="K9">
            <v>3.48</v>
          </cell>
        </row>
        <row r="10">
          <cell r="K10">
            <v>7.795</v>
          </cell>
        </row>
        <row r="11">
          <cell r="K11">
            <v>4.67</v>
          </cell>
        </row>
        <row r="12">
          <cell r="K12">
            <v>2.2</v>
          </cell>
        </row>
        <row r="13">
          <cell r="K13">
            <v>12</v>
          </cell>
        </row>
        <row r="14">
          <cell r="K14">
            <v>96</v>
          </cell>
        </row>
        <row r="15">
          <cell r="K15">
            <v>42.5531914893617</v>
          </cell>
        </row>
        <row r="16">
          <cell r="K16">
            <v>86</v>
          </cell>
        </row>
        <row r="17">
          <cell r="K17">
            <v>98</v>
          </cell>
        </row>
        <row r="19">
          <cell r="K19">
            <v>1</v>
          </cell>
        </row>
      </sheetData>
      <sheetData sheetId="12">
        <row r="8">
          <cell r="K8">
            <v>16811</v>
          </cell>
        </row>
        <row r="9">
          <cell r="K9">
            <v>6180</v>
          </cell>
        </row>
        <row r="10">
          <cell r="K10">
            <v>1768</v>
          </cell>
        </row>
        <row r="11">
          <cell r="K11">
            <v>1252</v>
          </cell>
        </row>
        <row r="12">
          <cell r="K12">
            <v>10.51692344298376</v>
          </cell>
        </row>
        <row r="13">
          <cell r="K13">
            <v>20.258899676375407</v>
          </cell>
        </row>
        <row r="15">
          <cell r="J15">
            <v>12</v>
          </cell>
        </row>
        <row r="16">
          <cell r="J16">
            <v>6</v>
          </cell>
        </row>
        <row r="17">
          <cell r="J17">
            <v>12</v>
          </cell>
        </row>
        <row r="18">
          <cell r="J18">
            <v>100</v>
          </cell>
        </row>
        <row r="19">
          <cell r="J19">
            <v>12</v>
          </cell>
        </row>
        <row r="20">
          <cell r="J20">
            <v>100</v>
          </cell>
        </row>
        <row r="24">
          <cell r="J24">
            <v>98</v>
          </cell>
        </row>
        <row r="25">
          <cell r="J25">
            <v>90.00059484861103</v>
          </cell>
        </row>
        <row r="26">
          <cell r="J26">
            <v>15130</v>
          </cell>
        </row>
        <row r="33">
          <cell r="K33">
            <v>72083</v>
          </cell>
        </row>
        <row r="35">
          <cell r="J35">
            <v>0.7</v>
          </cell>
        </row>
        <row r="38">
          <cell r="J38">
            <v>40.187</v>
          </cell>
        </row>
        <row r="40">
          <cell r="J40">
            <v>38.503</v>
          </cell>
        </row>
        <row r="42">
          <cell r="J42">
            <v>74</v>
          </cell>
        </row>
        <row r="43">
          <cell r="J43">
            <v>3</v>
          </cell>
        </row>
        <row r="44">
          <cell r="J44">
            <v>13</v>
          </cell>
        </row>
        <row r="45">
          <cell r="D45">
            <v>34.302</v>
          </cell>
          <cell r="F45">
            <v>34.435</v>
          </cell>
          <cell r="G45">
            <v>35.377</v>
          </cell>
          <cell r="H45">
            <v>36.635</v>
          </cell>
          <cell r="I45">
            <v>38.875</v>
          </cell>
          <cell r="J45">
            <v>39.175</v>
          </cell>
        </row>
        <row r="46">
          <cell r="J46">
            <v>1314</v>
          </cell>
        </row>
        <row r="47">
          <cell r="F47">
            <v>1.42</v>
          </cell>
          <cell r="G47">
            <v>1.488</v>
          </cell>
          <cell r="H47">
            <v>1.502</v>
          </cell>
          <cell r="I47">
            <v>1.51</v>
          </cell>
          <cell r="J47">
            <v>1.518</v>
          </cell>
        </row>
        <row r="48">
          <cell r="F48">
            <v>296</v>
          </cell>
          <cell r="G48">
            <v>230</v>
          </cell>
          <cell r="H48">
            <v>363</v>
          </cell>
          <cell r="I48">
            <v>404</v>
          </cell>
          <cell r="J48">
            <v>445</v>
          </cell>
        </row>
        <row r="50">
          <cell r="J50">
            <v>14831</v>
          </cell>
        </row>
        <row r="51">
          <cell r="F51">
            <v>1569</v>
          </cell>
          <cell r="G51">
            <v>1739</v>
          </cell>
          <cell r="H51">
            <v>1835</v>
          </cell>
          <cell r="I51">
            <v>2127</v>
          </cell>
          <cell r="J51">
            <v>2209</v>
          </cell>
        </row>
        <row r="52">
          <cell r="J52">
            <v>1215</v>
          </cell>
        </row>
        <row r="53">
          <cell r="J53">
            <v>994</v>
          </cell>
        </row>
        <row r="60">
          <cell r="J60">
            <v>82</v>
          </cell>
        </row>
        <row r="61">
          <cell r="F61">
            <v>62.4</v>
          </cell>
          <cell r="G61">
            <v>59.8</v>
          </cell>
          <cell r="H61">
            <v>60</v>
          </cell>
          <cell r="I61">
            <v>82</v>
          </cell>
          <cell r="J61">
            <v>82</v>
          </cell>
        </row>
        <row r="62">
          <cell r="J62">
            <v>16.7</v>
          </cell>
        </row>
        <row r="63">
          <cell r="F63">
            <v>85.5</v>
          </cell>
          <cell r="G63">
            <v>77.6</v>
          </cell>
          <cell r="H63">
            <v>78.9</v>
          </cell>
          <cell r="I63">
            <v>79</v>
          </cell>
          <cell r="J63">
            <v>82</v>
          </cell>
        </row>
        <row r="64">
          <cell r="F64">
            <v>90.9090909090909</v>
          </cell>
          <cell r="J64">
            <v>90.9090909090909</v>
          </cell>
        </row>
        <row r="65">
          <cell r="J65">
            <v>16.7</v>
          </cell>
        </row>
        <row r="66">
          <cell r="J66">
            <v>95</v>
          </cell>
        </row>
        <row r="67">
          <cell r="J67">
            <v>95</v>
          </cell>
        </row>
        <row r="70">
          <cell r="J70">
            <v>12.5</v>
          </cell>
        </row>
        <row r="73">
          <cell r="J73">
            <v>5.1</v>
          </cell>
        </row>
        <row r="74">
          <cell r="J74" t="str">
            <v>&lt;7</v>
          </cell>
        </row>
        <row r="75">
          <cell r="J75" t="str">
            <v>&lt;22.5</v>
          </cell>
        </row>
        <row r="76">
          <cell r="J76" t="str">
            <v>&lt;27.8</v>
          </cell>
        </row>
        <row r="77">
          <cell r="J77">
            <v>21</v>
          </cell>
        </row>
        <row r="78">
          <cell r="J78">
            <v>25</v>
          </cell>
        </row>
        <row r="79">
          <cell r="J79">
            <v>91</v>
          </cell>
        </row>
        <row r="80">
          <cell r="J80">
            <v>66.6</v>
          </cell>
        </row>
        <row r="81">
          <cell r="J81">
            <v>71.2</v>
          </cell>
        </row>
      </sheetData>
      <sheetData sheetId="17">
        <row r="7">
          <cell r="K7">
            <v>337.29</v>
          </cell>
        </row>
        <row r="8">
          <cell r="K8">
            <v>13.484729416716124</v>
          </cell>
        </row>
        <row r="9">
          <cell r="K9">
            <v>337.29</v>
          </cell>
        </row>
        <row r="17">
          <cell r="J17">
            <v>389.423</v>
          </cell>
          <cell r="K17">
            <v>1647.948</v>
          </cell>
        </row>
        <row r="18">
          <cell r="K18">
            <v>18.506348464536806</v>
          </cell>
        </row>
        <row r="19">
          <cell r="K19">
            <v>1416.101</v>
          </cell>
        </row>
        <row r="20">
          <cell r="K20">
            <v>85.9311701582817</v>
          </cell>
        </row>
        <row r="21">
          <cell r="K21">
            <v>231.847</v>
          </cell>
        </row>
        <row r="22">
          <cell r="K22">
            <v>14.068829841718305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M1"/>
      <sheetName val="PL2"/>
      <sheetName val="BM2"/>
      <sheetName val="BM2 a"/>
      <sheetName val="BM2 b"/>
      <sheetName val="Sheet4"/>
      <sheetName val="BM2c"/>
      <sheetName val="GTNN.1HA"/>
      <sheetName val="BM3 "/>
      <sheetName val="BM4"/>
      <sheetName val="BM5 "/>
      <sheetName val="BM7 (2)"/>
      <sheetName val="BM8 (2)"/>
      <sheetName val="BM9"/>
      <sheetName val="BieunayKhongin"/>
      <sheetName val="BM10"/>
      <sheetName val="Khongin"/>
      <sheetName val="BM11"/>
      <sheetName val="BM13"/>
      <sheetName val="PL17CCTT(khongin)"/>
      <sheetName val="Sheet3"/>
      <sheetName val="Pl14"/>
      <sheetName val="Sheet1"/>
      <sheetName val="Sheet2"/>
      <sheetName val="BM14"/>
      <sheetName val="BM15"/>
      <sheetName val="BM16"/>
    </sheetNames>
    <sheetDataSet>
      <sheetData sheetId="5">
        <row r="37">
          <cell r="D37">
            <v>2020</v>
          </cell>
          <cell r="E37">
            <v>2020</v>
          </cell>
          <cell r="F37">
            <v>1170</v>
          </cell>
          <cell r="G37">
            <v>1170</v>
          </cell>
          <cell r="H37">
            <v>1170</v>
          </cell>
        </row>
        <row r="43">
          <cell r="D43">
            <v>295</v>
          </cell>
          <cell r="E43">
            <v>295</v>
          </cell>
          <cell r="F43">
            <v>295</v>
          </cell>
          <cell r="G43">
            <v>295</v>
          </cell>
          <cell r="H43">
            <v>295</v>
          </cell>
        </row>
        <row r="45">
          <cell r="D45">
            <v>4425</v>
          </cell>
          <cell r="E45">
            <v>4425</v>
          </cell>
          <cell r="F45">
            <v>4425</v>
          </cell>
          <cell r="G45">
            <v>4425</v>
          </cell>
          <cell r="H45">
            <v>4425</v>
          </cell>
        </row>
        <row r="47">
          <cell r="D47">
            <v>3400</v>
          </cell>
          <cell r="E47">
            <v>3300</v>
          </cell>
          <cell r="F47">
            <v>3300</v>
          </cell>
          <cell r="G47">
            <v>3075</v>
          </cell>
          <cell r="H47">
            <v>2975</v>
          </cell>
        </row>
        <row r="49">
          <cell r="D49">
            <v>68000</v>
          </cell>
          <cell r="E49">
            <v>66000</v>
          </cell>
          <cell r="F49">
            <v>66000</v>
          </cell>
          <cell r="G49">
            <v>61500</v>
          </cell>
          <cell r="H49">
            <v>59500</v>
          </cell>
        </row>
        <row r="53">
          <cell r="D53">
            <v>95</v>
          </cell>
          <cell r="E53">
            <v>95</v>
          </cell>
          <cell r="F53">
            <v>95</v>
          </cell>
          <cell r="G53">
            <v>95</v>
          </cell>
          <cell r="H53">
            <v>83</v>
          </cell>
        </row>
        <row r="55">
          <cell r="D55">
            <v>95</v>
          </cell>
          <cell r="E55">
            <v>95</v>
          </cell>
          <cell r="F55">
            <v>95</v>
          </cell>
          <cell r="G55">
            <v>95</v>
          </cell>
          <cell r="H55">
            <v>83</v>
          </cell>
        </row>
        <row r="57">
          <cell r="D57">
            <v>526</v>
          </cell>
          <cell r="E57">
            <v>526</v>
          </cell>
          <cell r="F57">
            <v>526</v>
          </cell>
          <cell r="G57">
            <v>526</v>
          </cell>
          <cell r="H57">
            <v>472</v>
          </cell>
        </row>
        <row r="59">
          <cell r="D59">
            <v>630</v>
          </cell>
          <cell r="E59">
            <v>630</v>
          </cell>
          <cell r="F59">
            <v>630</v>
          </cell>
          <cell r="G59">
            <v>630</v>
          </cell>
          <cell r="H59">
            <v>565.1</v>
          </cell>
        </row>
        <row r="61">
          <cell r="D61">
            <v>642</v>
          </cell>
          <cell r="E61">
            <v>642</v>
          </cell>
          <cell r="F61">
            <v>642</v>
          </cell>
          <cell r="G61">
            <v>642</v>
          </cell>
          <cell r="H61">
            <v>642</v>
          </cell>
        </row>
        <row r="63">
          <cell r="D63">
            <v>7704</v>
          </cell>
          <cell r="E63">
            <v>7704</v>
          </cell>
          <cell r="F63">
            <v>7704</v>
          </cell>
          <cell r="G63">
            <v>7704</v>
          </cell>
          <cell r="H63">
            <v>7704</v>
          </cell>
        </row>
        <row r="67">
          <cell r="D67">
            <v>192</v>
          </cell>
          <cell r="E67">
            <v>192</v>
          </cell>
          <cell r="F67">
            <v>192</v>
          </cell>
          <cell r="G67">
            <v>192</v>
          </cell>
          <cell r="H67">
            <v>192</v>
          </cell>
        </row>
        <row r="69">
          <cell r="D69">
            <v>384</v>
          </cell>
          <cell r="E69">
            <v>384</v>
          </cell>
          <cell r="F69">
            <v>384</v>
          </cell>
          <cell r="G69">
            <v>384</v>
          </cell>
          <cell r="H69">
            <v>384</v>
          </cell>
        </row>
        <row r="71">
          <cell r="D71">
            <v>142</v>
          </cell>
          <cell r="E71">
            <v>142</v>
          </cell>
          <cell r="F71">
            <v>142</v>
          </cell>
          <cell r="G71">
            <v>142</v>
          </cell>
        </row>
        <row r="73">
          <cell r="D73">
            <v>215.5</v>
          </cell>
          <cell r="E73">
            <v>215.5</v>
          </cell>
          <cell r="F73">
            <v>215.5</v>
          </cell>
          <cell r="G73">
            <v>215.5</v>
          </cell>
          <cell r="H73">
            <v>215.5</v>
          </cell>
        </row>
        <row r="75">
          <cell r="D75">
            <v>5</v>
          </cell>
          <cell r="E75">
            <v>5</v>
          </cell>
          <cell r="F75">
            <v>5</v>
          </cell>
          <cell r="G75">
            <v>5</v>
          </cell>
          <cell r="H75">
            <v>5</v>
          </cell>
        </row>
        <row r="77">
          <cell r="D77">
            <v>250</v>
          </cell>
          <cell r="E77">
            <v>250</v>
          </cell>
          <cell r="F77">
            <v>250</v>
          </cell>
          <cell r="G77">
            <v>250</v>
          </cell>
          <cell r="H77">
            <v>250</v>
          </cell>
        </row>
        <row r="80">
          <cell r="D80">
            <v>16068.9</v>
          </cell>
          <cell r="E80">
            <v>15963.9</v>
          </cell>
          <cell r="F80">
            <v>15848.9</v>
          </cell>
          <cell r="G80">
            <v>15733.9</v>
          </cell>
          <cell r="H80">
            <v>15645.9</v>
          </cell>
        </row>
        <row r="81">
          <cell r="D81">
            <v>16188.9</v>
          </cell>
          <cell r="E81">
            <v>16068.9</v>
          </cell>
          <cell r="F81">
            <v>15963.9</v>
          </cell>
          <cell r="G81">
            <v>15848.9</v>
          </cell>
          <cell r="H81">
            <v>15733.9</v>
          </cell>
        </row>
        <row r="82">
          <cell r="D82">
            <v>-120</v>
          </cell>
          <cell r="E82">
            <v>-105</v>
          </cell>
          <cell r="F82">
            <v>-115</v>
          </cell>
          <cell r="G82">
            <v>-115</v>
          </cell>
          <cell r="H82">
            <v>-88</v>
          </cell>
        </row>
        <row r="83">
          <cell r="D83">
            <v>14598.4</v>
          </cell>
          <cell r="E83">
            <v>16068.9</v>
          </cell>
          <cell r="F83">
            <v>15963.9</v>
          </cell>
          <cell r="G83">
            <v>15848.9</v>
          </cell>
          <cell r="H83">
            <v>15645.9</v>
          </cell>
        </row>
        <row r="84">
          <cell r="D84">
            <v>2.520079597764139</v>
          </cell>
        </row>
        <row r="86">
          <cell r="D86">
            <v>600</v>
          </cell>
          <cell r="E86">
            <v>694</v>
          </cell>
          <cell r="F86">
            <v>788</v>
          </cell>
          <cell r="G86">
            <v>881</v>
          </cell>
          <cell r="H86">
            <v>960</v>
          </cell>
        </row>
        <row r="87">
          <cell r="D87">
            <v>504</v>
          </cell>
          <cell r="E87">
            <v>600</v>
          </cell>
          <cell r="F87">
            <v>694</v>
          </cell>
          <cell r="G87">
            <v>788</v>
          </cell>
          <cell r="H87">
            <v>881</v>
          </cell>
        </row>
        <row r="88">
          <cell r="D88">
            <v>96</v>
          </cell>
          <cell r="E88">
            <v>94</v>
          </cell>
          <cell r="F88">
            <v>94</v>
          </cell>
          <cell r="G88">
            <v>93</v>
          </cell>
          <cell r="H88">
            <v>79</v>
          </cell>
        </row>
        <row r="90">
          <cell r="D90">
            <v>2.4581047381546135</v>
          </cell>
          <cell r="E90">
            <v>2.4606407322654467</v>
          </cell>
          <cell r="F90">
            <v>2.5517823639774866</v>
          </cell>
          <cell r="G90">
            <v>2.5545454545454547</v>
          </cell>
          <cell r="H90">
            <v>2.6618585298196944</v>
          </cell>
        </row>
        <row r="91">
          <cell r="D91">
            <v>985.7</v>
          </cell>
          <cell r="E91">
            <v>1075.3000000000002</v>
          </cell>
          <cell r="F91">
            <v>1360.1000000000004</v>
          </cell>
          <cell r="G91">
            <v>1601.7</v>
          </cell>
          <cell r="H91">
            <v>1919.1999999999998</v>
          </cell>
        </row>
        <row r="92">
          <cell r="D92">
            <v>6039.5</v>
          </cell>
          <cell r="E92">
            <v>6139.5</v>
          </cell>
          <cell r="F92">
            <v>6239.5</v>
          </cell>
          <cell r="G92">
            <v>6339.5</v>
          </cell>
          <cell r="H92">
            <v>6439.5</v>
          </cell>
        </row>
        <row r="93">
          <cell r="D93">
            <v>5939.5</v>
          </cell>
          <cell r="E93">
            <v>6039.5</v>
          </cell>
          <cell r="F93">
            <v>6139.5</v>
          </cell>
          <cell r="G93">
            <v>6239.5</v>
          </cell>
          <cell r="H93">
            <v>6339.5</v>
          </cell>
        </row>
        <row r="94">
          <cell r="D94">
            <v>100</v>
          </cell>
          <cell r="E94">
            <v>100</v>
          </cell>
          <cell r="F94">
            <v>100</v>
          </cell>
          <cell r="G94">
            <v>100</v>
          </cell>
          <cell r="H94">
            <v>100</v>
          </cell>
        </row>
        <row r="95">
          <cell r="D95">
            <v>3129</v>
          </cell>
          <cell r="E95">
            <v>3414</v>
          </cell>
          <cell r="F95">
            <v>3816</v>
          </cell>
          <cell r="G95">
            <v>3816</v>
          </cell>
          <cell r="H95">
            <v>4199.5</v>
          </cell>
        </row>
        <row r="97">
          <cell r="D97">
            <v>6890.099999999999</v>
          </cell>
        </row>
        <row r="98">
          <cell r="D98">
            <v>3310</v>
          </cell>
          <cell r="E98">
            <v>2953</v>
          </cell>
          <cell r="F98">
            <v>2590</v>
          </cell>
          <cell r="G98">
            <v>2226</v>
          </cell>
          <cell r="H98">
            <v>1867</v>
          </cell>
        </row>
        <row r="99">
          <cell r="D99">
            <v>3651</v>
          </cell>
          <cell r="E99">
            <v>3310</v>
          </cell>
          <cell r="F99">
            <v>2953</v>
          </cell>
          <cell r="G99">
            <v>2590</v>
          </cell>
          <cell r="H99">
            <v>2226</v>
          </cell>
        </row>
        <row r="100">
          <cell r="D100">
            <v>-341</v>
          </cell>
          <cell r="E100">
            <v>-357</v>
          </cell>
          <cell r="F100">
            <v>-363</v>
          </cell>
          <cell r="G100">
            <v>-364</v>
          </cell>
          <cell r="H100">
            <v>-359</v>
          </cell>
        </row>
        <row r="101">
          <cell r="D101">
            <v>3651</v>
          </cell>
          <cell r="E101">
            <v>3310</v>
          </cell>
          <cell r="F101">
            <v>2953</v>
          </cell>
          <cell r="G101">
            <v>2590</v>
          </cell>
          <cell r="H101">
            <v>1867</v>
          </cell>
        </row>
        <row r="102">
          <cell r="D102">
            <v>1.0131470829909615</v>
          </cell>
          <cell r="E102">
            <v>1.1</v>
          </cell>
          <cell r="F102">
            <v>1.2000000000000002</v>
          </cell>
          <cell r="G102">
            <v>1.2</v>
          </cell>
          <cell r="H102">
            <v>1.2</v>
          </cell>
        </row>
        <row r="103">
          <cell r="D103">
            <v>3699</v>
          </cell>
          <cell r="E103">
            <v>3641</v>
          </cell>
          <cell r="F103">
            <v>3543.6000000000004</v>
          </cell>
          <cell r="G103">
            <v>3108</v>
          </cell>
          <cell r="H103">
            <v>2240.4</v>
          </cell>
        </row>
        <row r="104">
          <cell r="D104">
            <v>471</v>
          </cell>
          <cell r="E104">
            <v>521</v>
          </cell>
          <cell r="F104">
            <v>571</v>
          </cell>
          <cell r="G104">
            <v>621</v>
          </cell>
          <cell r="H104">
            <v>671</v>
          </cell>
        </row>
        <row r="105">
          <cell r="D105">
            <v>414</v>
          </cell>
          <cell r="E105">
            <v>471</v>
          </cell>
          <cell r="F105">
            <v>521</v>
          </cell>
          <cell r="G105">
            <v>571</v>
          </cell>
          <cell r="H105">
            <v>621</v>
          </cell>
        </row>
        <row r="106">
          <cell r="D106">
            <v>57</v>
          </cell>
          <cell r="E106">
            <v>50</v>
          </cell>
          <cell r="F106">
            <v>50</v>
          </cell>
          <cell r="G106">
            <v>50</v>
          </cell>
          <cell r="H106">
            <v>50</v>
          </cell>
        </row>
        <row r="107">
          <cell r="D107">
            <v>56.9</v>
          </cell>
          <cell r="E107">
            <v>56.9</v>
          </cell>
          <cell r="F107">
            <v>521</v>
          </cell>
          <cell r="G107">
            <v>578</v>
          </cell>
          <cell r="H107">
            <v>628</v>
          </cell>
        </row>
        <row r="108">
          <cell r="D108">
            <v>1</v>
          </cell>
          <cell r="E108">
            <v>1</v>
          </cell>
          <cell r="F108">
            <v>1.0197696737044146</v>
          </cell>
          <cell r="G108">
            <v>1.1</v>
          </cell>
          <cell r="H108">
            <v>1.0597133757961783</v>
          </cell>
        </row>
        <row r="109">
          <cell r="D109">
            <v>56.9</v>
          </cell>
          <cell r="E109">
            <v>56.9</v>
          </cell>
          <cell r="F109">
            <v>531.3000000000001</v>
          </cell>
          <cell r="G109">
            <v>635.8000000000001</v>
          </cell>
          <cell r="H109">
            <v>665.5</v>
          </cell>
        </row>
        <row r="110">
          <cell r="D110">
            <v>457.78</v>
          </cell>
          <cell r="E110">
            <v>467.78</v>
          </cell>
          <cell r="F110">
            <v>477.78</v>
          </cell>
          <cell r="G110">
            <v>487.78</v>
          </cell>
          <cell r="H110">
            <v>499.78</v>
          </cell>
        </row>
        <row r="111">
          <cell r="D111">
            <v>447.78</v>
          </cell>
          <cell r="E111">
            <v>457.78</v>
          </cell>
          <cell r="F111">
            <v>467.78</v>
          </cell>
          <cell r="G111">
            <v>477.78</v>
          </cell>
          <cell r="H111">
            <v>487.78</v>
          </cell>
        </row>
        <row r="112">
          <cell r="D112">
            <v>10</v>
          </cell>
          <cell r="E112">
            <v>10</v>
          </cell>
          <cell r="F112">
            <v>10</v>
          </cell>
          <cell r="G112">
            <v>10</v>
          </cell>
          <cell r="H112">
            <v>12</v>
          </cell>
        </row>
        <row r="113">
          <cell r="D113">
            <v>359</v>
          </cell>
          <cell r="E113">
            <v>359</v>
          </cell>
          <cell r="F113">
            <v>467.78</v>
          </cell>
          <cell r="G113">
            <v>477.78</v>
          </cell>
          <cell r="H113">
            <v>487.78</v>
          </cell>
        </row>
        <row r="114">
          <cell r="D114">
            <v>9.750417827298051</v>
          </cell>
          <cell r="E114">
            <v>9.750417827298051</v>
          </cell>
          <cell r="F114">
            <v>9.752195121951221</v>
          </cell>
          <cell r="G114">
            <v>9.75263157894737</v>
          </cell>
          <cell r="H114">
            <v>9.75263157894737</v>
          </cell>
        </row>
        <row r="115">
          <cell r="D115">
            <v>3500.4</v>
          </cell>
          <cell r="E115">
            <v>3500.4</v>
          </cell>
          <cell r="F115">
            <v>3998.4000000000005</v>
          </cell>
          <cell r="G115">
            <v>4076.6000000000004</v>
          </cell>
          <cell r="H115">
            <v>4076.6000000000004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comments" Target="../comments2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8.v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comments" Target="../comments32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T129"/>
  <sheetViews>
    <sheetView zoomScalePageLayoutView="0" workbookViewId="0" topLeftCell="A1">
      <pane xSplit="3" ySplit="6" topLeftCell="E10" activePane="bottomRight" state="frozen"/>
      <selection pane="topLeft" activeCell="A4" sqref="A4:P4"/>
      <selection pane="topRight" activeCell="A4" sqref="A4:P4"/>
      <selection pane="bottomLeft" activeCell="A4" sqref="A4:P4"/>
      <selection pane="bottomRight" activeCell="A4" sqref="A4:P4"/>
    </sheetView>
  </sheetViews>
  <sheetFormatPr defaultColWidth="7.8515625" defaultRowHeight="44.25" customHeight="1"/>
  <cols>
    <col min="1" max="1" width="5.57421875" style="560" customWidth="1"/>
    <col min="2" max="2" width="61.421875" style="558" customWidth="1"/>
    <col min="3" max="9" width="14.140625" style="560" customWidth="1"/>
    <col min="10" max="10" width="19.8515625" style="997" customWidth="1"/>
    <col min="11" max="11" width="15.57421875" style="558" hidden="1" customWidth="1"/>
    <col min="12" max="12" width="4.421875" style="558" hidden="1" customWidth="1"/>
    <col min="13" max="13" width="6.7109375" style="558" customWidth="1"/>
    <col min="14" max="14" width="11.7109375" style="558" hidden="1" customWidth="1"/>
    <col min="15" max="15" width="10.7109375" style="558" hidden="1" customWidth="1"/>
    <col min="16" max="16" width="29.00390625" style="559" customWidth="1"/>
    <col min="17" max="17" width="16.7109375" style="558" customWidth="1"/>
    <col min="18" max="18" width="7.8515625" style="558" customWidth="1"/>
    <col min="19" max="19" width="9.00390625" style="558" bestFit="1" customWidth="1"/>
    <col min="20" max="16384" width="7.8515625" style="558" customWidth="1"/>
  </cols>
  <sheetData>
    <row r="1" spans="2:10" s="331" customFormat="1" ht="22.5" customHeight="1">
      <c r="B1" s="347"/>
      <c r="C1" s="348"/>
      <c r="D1" s="348"/>
      <c r="I1" s="371" t="s">
        <v>702</v>
      </c>
      <c r="J1" s="996" t="s">
        <v>704</v>
      </c>
    </row>
    <row r="2" spans="2:10" s="331" customFormat="1" ht="22.5" customHeight="1">
      <c r="B2" s="1764" t="s">
        <v>476</v>
      </c>
      <c r="C2" s="1764"/>
      <c r="D2" s="1764"/>
      <c r="E2" s="1764"/>
      <c r="F2" s="1764"/>
      <c r="G2" s="1764"/>
      <c r="H2" s="1764"/>
      <c r="I2" s="1764"/>
      <c r="J2" s="1764"/>
    </row>
    <row r="3" spans="1:10" s="331" customFormat="1" ht="22.5" customHeight="1">
      <c r="A3" s="1765" t="s">
        <v>759</v>
      </c>
      <c r="B3" s="1765"/>
      <c r="C3" s="1765"/>
      <c r="D3" s="1765"/>
      <c r="E3" s="1765"/>
      <c r="F3" s="1765"/>
      <c r="G3" s="1765"/>
      <c r="H3" s="1765"/>
      <c r="I3" s="1765"/>
      <c r="J3" s="1765"/>
    </row>
    <row r="4" spans="1:13" ht="16.5">
      <c r="A4" s="1766" t="s">
        <v>760</v>
      </c>
      <c r="B4" s="1766"/>
      <c r="C4" s="1766"/>
      <c r="D4" s="1766"/>
      <c r="E4" s="1766"/>
      <c r="F4" s="1766"/>
      <c r="G4" s="1766"/>
      <c r="H4" s="1766"/>
      <c r="I4" s="1766"/>
      <c r="J4" s="1766"/>
      <c r="K4" s="557"/>
      <c r="L4" s="557"/>
      <c r="M4" s="557"/>
    </row>
    <row r="5" ht="16.5"/>
    <row r="6" spans="1:14" ht="62.25" customHeight="1">
      <c r="A6" s="383" t="s">
        <v>0</v>
      </c>
      <c r="B6" s="383" t="s">
        <v>211</v>
      </c>
      <c r="C6" s="383" t="s">
        <v>104</v>
      </c>
      <c r="D6" s="383" t="s">
        <v>694</v>
      </c>
      <c r="E6" s="383" t="s">
        <v>695</v>
      </c>
      <c r="F6" s="383" t="s">
        <v>696</v>
      </c>
      <c r="G6" s="383" t="s">
        <v>697</v>
      </c>
      <c r="H6" s="383" t="s">
        <v>698</v>
      </c>
      <c r="I6" s="383" t="s">
        <v>699</v>
      </c>
      <c r="J6" s="383" t="s">
        <v>700</v>
      </c>
      <c r="K6" s="383" t="s">
        <v>383</v>
      </c>
      <c r="L6" s="591"/>
      <c r="M6" s="1087"/>
      <c r="N6" s="558">
        <v>2015</v>
      </c>
    </row>
    <row r="7" spans="1:13" ht="15.75" customHeight="1">
      <c r="A7" s="561" t="s">
        <v>3</v>
      </c>
      <c r="B7" s="561" t="s">
        <v>14</v>
      </c>
      <c r="C7" s="561" t="s">
        <v>16</v>
      </c>
      <c r="D7" s="561">
        <v>1</v>
      </c>
      <c r="E7" s="561">
        <v>2</v>
      </c>
      <c r="F7" s="561">
        <v>3</v>
      </c>
      <c r="G7" s="561">
        <v>4</v>
      </c>
      <c r="H7" s="561">
        <v>5</v>
      </c>
      <c r="I7" s="561">
        <v>6</v>
      </c>
      <c r="J7" s="998">
        <v>7</v>
      </c>
      <c r="K7" s="561"/>
      <c r="L7" s="561"/>
      <c r="M7" s="1088"/>
    </row>
    <row r="8" spans="1:16" s="564" customFormat="1" ht="16.5">
      <c r="A8" s="562" t="s">
        <v>29</v>
      </c>
      <c r="B8" s="563" t="s">
        <v>384</v>
      </c>
      <c r="C8" s="562"/>
      <c r="D8" s="562"/>
      <c r="E8" s="562"/>
      <c r="F8" s="562"/>
      <c r="G8" s="562"/>
      <c r="H8" s="562"/>
      <c r="I8" s="562"/>
      <c r="J8" s="999"/>
      <c r="K8" s="563"/>
      <c r="L8" s="563"/>
      <c r="M8" s="1089"/>
      <c r="P8" s="565"/>
    </row>
    <row r="9" spans="1:16" s="564" customFormat="1" ht="16.5">
      <c r="A9" s="562">
        <v>1</v>
      </c>
      <c r="B9" s="563" t="s">
        <v>385</v>
      </c>
      <c r="C9" s="562" t="s">
        <v>293</v>
      </c>
      <c r="D9" s="716">
        <f aca="true" t="shared" si="0" ref="D9:I9">D11+D12+D14</f>
        <v>4266.808844</v>
      </c>
      <c r="E9" s="716">
        <f t="shared" si="0"/>
        <v>5802.099999999999</v>
      </c>
      <c r="F9" s="716">
        <f t="shared" si="0"/>
        <v>6410.49</v>
      </c>
      <c r="G9" s="716">
        <f t="shared" si="0"/>
        <v>7352.290000000001</v>
      </c>
      <c r="H9" s="716">
        <f t="shared" si="0"/>
        <v>8125.269999999999</v>
      </c>
      <c r="I9" s="716">
        <f t="shared" si="0"/>
        <v>8899.83</v>
      </c>
      <c r="J9" s="1000">
        <f>SUM(E9:I9)/5</f>
        <v>7317.996000000001</v>
      </c>
      <c r="K9" s="566"/>
      <c r="L9" s="566"/>
      <c r="M9" s="1090"/>
      <c r="P9" s="565"/>
    </row>
    <row r="10" spans="1:13" ht="16.5">
      <c r="A10" s="561"/>
      <c r="B10" s="567" t="s">
        <v>141</v>
      </c>
      <c r="C10" s="561"/>
      <c r="D10" s="561"/>
      <c r="E10" s="561"/>
      <c r="F10" s="561"/>
      <c r="G10" s="561"/>
      <c r="H10" s="561"/>
      <c r="I10" s="561"/>
      <c r="J10" s="1001"/>
      <c r="K10" s="568"/>
      <c r="L10" s="568"/>
      <c r="M10" s="1109" t="s">
        <v>967</v>
      </c>
    </row>
    <row r="11" spans="1:15" s="572" customFormat="1" ht="16.5">
      <c r="A11" s="569"/>
      <c r="B11" s="570" t="s">
        <v>386</v>
      </c>
      <c r="C11" s="569" t="s">
        <v>293</v>
      </c>
      <c r="D11" s="724">
        <f>'[5]BM1 (2)'!K12</f>
        <v>2643.4148</v>
      </c>
      <c r="E11" s="1080">
        <f>'BM2 a'!D11</f>
        <v>3355.0499999999997</v>
      </c>
      <c r="F11" s="1080">
        <f>'BM2 a'!E11</f>
        <v>3624.79</v>
      </c>
      <c r="G11" s="1080">
        <f>'BM2 a'!F11</f>
        <v>4114.39</v>
      </c>
      <c r="H11" s="1080">
        <f>'BM2 a'!G11</f>
        <v>4409.019999999999</v>
      </c>
      <c r="I11" s="1080">
        <f>'BM2 a'!H11</f>
        <v>4676.99</v>
      </c>
      <c r="J11" s="1002">
        <f>I11</f>
        <v>4676.99</v>
      </c>
      <c r="K11" s="571"/>
      <c r="L11" s="571"/>
      <c r="M11" s="1109">
        <f>(I11/'[5]BM1 (3)'!J12)^(1/5)*100-100</f>
        <v>8.674984184881978</v>
      </c>
      <c r="N11" s="1083">
        <f>'[5]BM1 (3)'!J12</f>
        <v>3085.45</v>
      </c>
      <c r="O11" s="572">
        <f>(I11/N11)^(1/5)*100-100</f>
        <v>8.674984184881978</v>
      </c>
    </row>
    <row r="12" spans="1:15" ht="16.5">
      <c r="A12" s="561"/>
      <c r="B12" s="567" t="s">
        <v>387</v>
      </c>
      <c r="C12" s="561" t="s">
        <v>293</v>
      </c>
      <c r="D12" s="724">
        <f>'[5]BM1 (2)'!K13</f>
        <v>795.74</v>
      </c>
      <c r="E12" s="865">
        <f>'BM3r '!D7</f>
        <v>1099.15</v>
      </c>
      <c r="F12" s="865">
        <f>'BM3r '!E7</f>
        <v>1232.3000000000002</v>
      </c>
      <c r="G12" s="865">
        <f>'BM3r '!F7</f>
        <v>1451.9</v>
      </c>
      <c r="H12" s="865">
        <f>'BM3r '!G7</f>
        <v>1662.55</v>
      </c>
      <c r="I12" s="865">
        <f>'BM3r '!H7</f>
        <v>1860.44</v>
      </c>
      <c r="J12" s="1003">
        <f>I12</f>
        <v>1860.44</v>
      </c>
      <c r="K12" s="568"/>
      <c r="L12" s="568"/>
      <c r="M12" s="1109">
        <f>(I12/'[5]BM1 (3)'!J13)^(1/5)*100-100</f>
        <v>13.4778516975026</v>
      </c>
      <c r="N12" s="1083">
        <f>'[5]BM1 (3)'!J13</f>
        <v>988.69</v>
      </c>
      <c r="O12" s="572">
        <f>(I12/N12)^(1/5)*100-100</f>
        <v>13.4778516975026</v>
      </c>
    </row>
    <row r="13" spans="1:15" ht="16.5">
      <c r="A13" s="561"/>
      <c r="B13" s="567" t="s">
        <v>388</v>
      </c>
      <c r="C13" s="561" t="s">
        <v>293</v>
      </c>
      <c r="D13" s="724">
        <f>'[5]BM1 (2)'!K14</f>
        <v>413.88199999999995</v>
      </c>
      <c r="E13" s="865">
        <f>'BM3r '!D9</f>
        <v>656.95</v>
      </c>
      <c r="F13" s="865">
        <f>'BM3r '!E9</f>
        <v>709.6</v>
      </c>
      <c r="G13" s="865">
        <f>'BM3r '!F9</f>
        <v>859.32</v>
      </c>
      <c r="H13" s="865">
        <f>'BM3r '!G9</f>
        <v>1028</v>
      </c>
      <c r="I13" s="865">
        <f>'BM3r '!H9</f>
        <v>1176.12</v>
      </c>
      <c r="J13" s="1003">
        <f>I13</f>
        <v>1176.12</v>
      </c>
      <c r="K13" s="573"/>
      <c r="L13" s="573"/>
      <c r="M13" s="1109">
        <f>(I13/'[5]BM1 (3)'!J14)^(1/5)*100-100</f>
        <v>13.960843718876362</v>
      </c>
      <c r="N13" s="1083">
        <f>'[5]BM1 (3)'!J14</f>
        <v>611.89</v>
      </c>
      <c r="O13" s="572">
        <f>(I13/N13)^(1/5)*100-100</f>
        <v>13.960843718876362</v>
      </c>
    </row>
    <row r="14" spans="1:19" ht="16.5">
      <c r="A14" s="561"/>
      <c r="B14" s="567" t="s">
        <v>389</v>
      </c>
      <c r="C14" s="561" t="s">
        <v>293</v>
      </c>
      <c r="D14" s="724">
        <f>'[5]BM1 (2)'!K15</f>
        <v>827.6540439999999</v>
      </c>
      <c r="E14" s="857">
        <f>'BM5 '!E7</f>
        <v>1347.8999999999999</v>
      </c>
      <c r="F14" s="857">
        <f>'BM5 '!F7</f>
        <v>1553.3999999999999</v>
      </c>
      <c r="G14" s="857">
        <f>'BM5 '!G7</f>
        <v>1786</v>
      </c>
      <c r="H14" s="857">
        <f>'BM5 '!H7</f>
        <v>2053.7</v>
      </c>
      <c r="I14" s="857">
        <f>'BM5 '!I7</f>
        <v>2362.4</v>
      </c>
      <c r="J14" s="1004">
        <f>I14</f>
        <v>2362.4</v>
      </c>
      <c r="K14" s="568"/>
      <c r="L14" s="568"/>
      <c r="M14" s="1109">
        <f>(I14/'[5]BM1 (3)'!J15)^(1/5)*100-100</f>
        <v>14.836799558396919</v>
      </c>
      <c r="N14" s="1083">
        <f>'[5]BM1 (3)'!J15</f>
        <v>1182.8999999999999</v>
      </c>
      <c r="O14" s="572">
        <f>(I14/N14)^(1/5)*100-100</f>
        <v>14.836799558396919</v>
      </c>
      <c r="Q14" s="574"/>
      <c r="S14" s="564"/>
    </row>
    <row r="15" spans="1:17" s="564" customFormat="1" ht="16.5">
      <c r="A15" s="562">
        <v>2</v>
      </c>
      <c r="B15" s="575" t="s">
        <v>390</v>
      </c>
      <c r="C15" s="562"/>
      <c r="D15" s="562"/>
      <c r="E15" s="562"/>
      <c r="F15" s="562"/>
      <c r="G15" s="562"/>
      <c r="H15" s="562"/>
      <c r="I15" s="562"/>
      <c r="J15" s="1005"/>
      <c r="K15" s="576"/>
      <c r="L15" s="576"/>
      <c r="M15" s="1093"/>
      <c r="P15" s="565"/>
      <c r="Q15" s="574"/>
    </row>
    <row r="16" spans="1:14" s="572" customFormat="1" ht="16.5">
      <c r="A16" s="569"/>
      <c r="B16" s="570" t="s">
        <v>386</v>
      </c>
      <c r="C16" s="569" t="s">
        <v>6</v>
      </c>
      <c r="D16" s="855">
        <f aca="true" t="shared" si="1" ref="D16:I16">D11/D9*100</f>
        <v>61.95296992779927</v>
      </c>
      <c r="E16" s="1143">
        <f t="shared" si="1"/>
        <v>57.82475310663381</v>
      </c>
      <c r="F16" s="1143">
        <f t="shared" si="1"/>
        <v>56.54466351246161</v>
      </c>
      <c r="G16" s="1143">
        <f t="shared" si="1"/>
        <v>55.96065987603862</v>
      </c>
      <c r="H16" s="1143">
        <f t="shared" si="1"/>
        <v>54.263058335292236</v>
      </c>
      <c r="I16" s="1143">
        <f t="shared" si="1"/>
        <v>52.55145323000552</v>
      </c>
      <c r="J16" s="1144">
        <f>I16</f>
        <v>52.55145323000552</v>
      </c>
      <c r="K16" s="571"/>
      <c r="L16" s="571"/>
      <c r="M16" s="1092"/>
      <c r="N16" s="577"/>
    </row>
    <row r="17" spans="1:20" ht="16.5">
      <c r="A17" s="561"/>
      <c r="B17" s="567" t="s">
        <v>387</v>
      </c>
      <c r="C17" s="561" t="s">
        <v>6</v>
      </c>
      <c r="D17" s="855">
        <f aca="true" t="shared" si="2" ref="D17:I17">(D12/D9)*100</f>
        <v>18.64953479504881</v>
      </c>
      <c r="E17" s="1143">
        <f t="shared" si="2"/>
        <v>18.94400303338447</v>
      </c>
      <c r="F17" s="1143">
        <f t="shared" si="2"/>
        <v>19.223179507338756</v>
      </c>
      <c r="G17" s="1143">
        <f t="shared" si="2"/>
        <v>19.747588846468243</v>
      </c>
      <c r="H17" s="1143">
        <f t="shared" si="2"/>
        <v>20.4614738956367</v>
      </c>
      <c r="I17" s="1143">
        <f t="shared" si="2"/>
        <v>20.9042195187998</v>
      </c>
      <c r="J17" s="1144">
        <f>I17</f>
        <v>20.9042195187998</v>
      </c>
      <c r="K17" s="568"/>
      <c r="L17" s="568"/>
      <c r="M17" s="1092"/>
      <c r="N17" s="1085">
        <f>I17-H17</f>
        <v>0.4427456231630984</v>
      </c>
      <c r="S17" s="558" t="s">
        <v>985</v>
      </c>
      <c r="T17" s="558">
        <v>5</v>
      </c>
    </row>
    <row r="18" spans="1:20" ht="16.5">
      <c r="A18" s="561"/>
      <c r="B18" s="567" t="s">
        <v>389</v>
      </c>
      <c r="C18" s="561" t="s">
        <v>6</v>
      </c>
      <c r="D18" s="855">
        <f aca="true" t="shared" si="3" ref="D18:I18">(D14/D9)*100</f>
        <v>19.397495277151908</v>
      </c>
      <c r="E18" s="1143">
        <f t="shared" si="3"/>
        <v>23.23124385998173</v>
      </c>
      <c r="F18" s="1143">
        <f t="shared" si="3"/>
        <v>24.23215698019964</v>
      </c>
      <c r="G18" s="1143">
        <f t="shared" si="3"/>
        <v>24.29175127749313</v>
      </c>
      <c r="H18" s="1143">
        <f t="shared" si="3"/>
        <v>25.275467769071057</v>
      </c>
      <c r="I18" s="1143">
        <f t="shared" si="3"/>
        <v>26.544327251194687</v>
      </c>
      <c r="J18" s="1144">
        <f>I18</f>
        <v>26.544327251194687</v>
      </c>
      <c r="K18" s="568"/>
      <c r="L18" s="568"/>
      <c r="M18" s="1092"/>
      <c r="N18" s="1085">
        <f>H17-G17</f>
        <v>0.7138850491684572</v>
      </c>
      <c r="S18" s="558" t="s">
        <v>986</v>
      </c>
      <c r="T18" s="558">
        <v>3</v>
      </c>
    </row>
    <row r="19" spans="1:14" ht="16.5" hidden="1">
      <c r="A19" s="386">
        <v>3</v>
      </c>
      <c r="B19" s="387" t="s">
        <v>773</v>
      </c>
      <c r="C19" s="692"/>
      <c r="D19" s="561"/>
      <c r="E19" s="561"/>
      <c r="F19" s="561"/>
      <c r="G19" s="561"/>
      <c r="H19" s="561"/>
      <c r="I19" s="561"/>
      <c r="J19" s="1001"/>
      <c r="K19" s="568"/>
      <c r="L19" s="568"/>
      <c r="M19" s="1092" t="e">
        <f>(I19/'[5]BM1 (3)'!J25)^(1/5)*100-100</f>
        <v>#REF!</v>
      </c>
      <c r="N19" s="578"/>
    </row>
    <row r="20" spans="1:14" ht="16.5" hidden="1">
      <c r="A20" s="386"/>
      <c r="B20" s="390" t="s">
        <v>136</v>
      </c>
      <c r="C20" s="689"/>
      <c r="D20" s="561"/>
      <c r="E20" s="561"/>
      <c r="F20" s="561"/>
      <c r="G20" s="561"/>
      <c r="H20" s="561"/>
      <c r="I20" s="561"/>
      <c r="J20" s="1001"/>
      <c r="K20" s="568"/>
      <c r="L20" s="568"/>
      <c r="M20" s="1092" t="e">
        <f>(I20/'[5]BM1 (3)'!J26)^(1/5)*100-100</f>
        <v>#REF!</v>
      </c>
      <c r="N20" s="578"/>
    </row>
    <row r="21" spans="1:14" ht="16.5" hidden="1">
      <c r="A21" s="386"/>
      <c r="B21" s="392" t="s">
        <v>761</v>
      </c>
      <c r="C21" s="689" t="s">
        <v>213</v>
      </c>
      <c r="D21" s="561"/>
      <c r="E21" s="561"/>
      <c r="F21" s="561"/>
      <c r="G21" s="561"/>
      <c r="H21" s="561"/>
      <c r="I21" s="561"/>
      <c r="J21" s="1001"/>
      <c r="K21" s="568"/>
      <c r="L21" s="568"/>
      <c r="M21" s="1092" t="e">
        <f>(I21/'[5]BM1 (3)'!J27)^(1/5)*100-100</f>
        <v>#REF!</v>
      </c>
      <c r="N21" s="578"/>
    </row>
    <row r="22" spans="1:14" ht="16.5" hidden="1">
      <c r="A22" s="386"/>
      <c r="B22" s="392" t="s">
        <v>762</v>
      </c>
      <c r="C22" s="689" t="s">
        <v>213</v>
      </c>
      <c r="D22" s="561"/>
      <c r="E22" s="561"/>
      <c r="F22" s="561"/>
      <c r="G22" s="561"/>
      <c r="H22" s="561"/>
      <c r="I22" s="561"/>
      <c r="J22" s="1001"/>
      <c r="K22" s="568"/>
      <c r="L22" s="568"/>
      <c r="M22" s="1092" t="e">
        <f>(I22/'[5]BM1 (3)'!J28)^(1/5)*100-100</f>
        <v>#REF!</v>
      </c>
      <c r="N22" s="578"/>
    </row>
    <row r="23" spans="1:14" ht="16.5" hidden="1">
      <c r="A23" s="386"/>
      <c r="B23" s="392" t="s">
        <v>763</v>
      </c>
      <c r="C23" s="689" t="s">
        <v>213</v>
      </c>
      <c r="D23" s="561"/>
      <c r="E23" s="561"/>
      <c r="F23" s="561"/>
      <c r="G23" s="561"/>
      <c r="H23" s="561"/>
      <c r="I23" s="561"/>
      <c r="J23" s="1001"/>
      <c r="K23" s="568"/>
      <c r="L23" s="568"/>
      <c r="M23" s="1092">
        <f>(I23/'[5]BM1 (3)'!J29)^(1/5)*100-100</f>
        <v>-100</v>
      </c>
      <c r="N23" s="578"/>
    </row>
    <row r="24" spans="1:14" ht="16.5" hidden="1">
      <c r="A24" s="386">
        <v>4</v>
      </c>
      <c r="B24" s="387" t="s">
        <v>764</v>
      </c>
      <c r="C24" s="689"/>
      <c r="D24" s="561"/>
      <c r="E24" s="561"/>
      <c r="F24" s="561"/>
      <c r="G24" s="561"/>
      <c r="H24" s="561"/>
      <c r="I24" s="561"/>
      <c r="J24" s="1001"/>
      <c r="K24" s="568"/>
      <c r="L24" s="568"/>
      <c r="M24" s="1092">
        <f>(I24/'[5]BM1 (3)'!J31)^(1/5)*100-100</f>
        <v>-100</v>
      </c>
      <c r="N24" s="578"/>
    </row>
    <row r="25" spans="1:14" ht="33" hidden="1">
      <c r="A25" s="389"/>
      <c r="B25" s="392" t="s">
        <v>765</v>
      </c>
      <c r="C25" s="689" t="s">
        <v>766</v>
      </c>
      <c r="D25" s="561"/>
      <c r="E25" s="561"/>
      <c r="F25" s="561"/>
      <c r="G25" s="561"/>
      <c r="H25" s="561"/>
      <c r="I25" s="561"/>
      <c r="J25" s="1001"/>
      <c r="K25" s="568"/>
      <c r="L25" s="568"/>
      <c r="M25" s="1092">
        <f>(I25/'[5]BM1 (3)'!J32)^(1/5)*100-100</f>
        <v>-100</v>
      </c>
      <c r="N25" s="578"/>
    </row>
    <row r="26" spans="1:14" ht="16.5" hidden="1">
      <c r="A26" s="389"/>
      <c r="B26" s="392" t="s">
        <v>767</v>
      </c>
      <c r="C26" s="689" t="s">
        <v>768</v>
      </c>
      <c r="D26" s="561"/>
      <c r="E26" s="561"/>
      <c r="F26" s="561"/>
      <c r="G26" s="561"/>
      <c r="H26" s="561"/>
      <c r="I26" s="561"/>
      <c r="J26" s="1001"/>
      <c r="K26" s="568"/>
      <c r="L26" s="568"/>
      <c r="M26" s="1092">
        <f>(I26/'[5]BM1 (3)'!J33)^(1/5)*100-100</f>
        <v>-100</v>
      </c>
      <c r="N26" s="578"/>
    </row>
    <row r="27" spans="1:14" ht="16.5" hidden="1">
      <c r="A27" s="389"/>
      <c r="B27" s="392" t="s">
        <v>769</v>
      </c>
      <c r="C27" s="689" t="s">
        <v>770</v>
      </c>
      <c r="D27" s="561"/>
      <c r="E27" s="561"/>
      <c r="F27" s="561"/>
      <c r="G27" s="561"/>
      <c r="H27" s="561"/>
      <c r="I27" s="561"/>
      <c r="J27" s="1001"/>
      <c r="K27" s="568"/>
      <c r="L27" s="568"/>
      <c r="M27" s="1092">
        <f>(I27/'[5]BM1 (3)'!J34)^(1/5)*100-100</f>
        <v>-100</v>
      </c>
      <c r="N27" s="578"/>
    </row>
    <row r="28" spans="1:14" ht="16.5" hidden="1">
      <c r="A28" s="561">
        <v>5</v>
      </c>
      <c r="B28" s="387" t="s">
        <v>771</v>
      </c>
      <c r="C28" s="689" t="s">
        <v>213</v>
      </c>
      <c r="D28" s="561"/>
      <c r="E28" s="561"/>
      <c r="F28" s="561"/>
      <c r="G28" s="561"/>
      <c r="H28" s="561"/>
      <c r="I28" s="561"/>
      <c r="J28" s="1001"/>
      <c r="K28" s="568"/>
      <c r="L28" s="568"/>
      <c r="M28" s="1092">
        <f>(I28/'[5]BM1 (3)'!J37)^(1/5)*100-100</f>
        <v>-100</v>
      </c>
      <c r="N28" s="578"/>
    </row>
    <row r="29" spans="1:14" ht="16.5" hidden="1">
      <c r="A29" s="561">
        <v>6</v>
      </c>
      <c r="B29" s="387" t="s">
        <v>772</v>
      </c>
      <c r="C29" s="689" t="s">
        <v>213</v>
      </c>
      <c r="D29" s="561"/>
      <c r="E29" s="561"/>
      <c r="F29" s="561"/>
      <c r="G29" s="561"/>
      <c r="H29" s="561"/>
      <c r="I29" s="561"/>
      <c r="J29" s="1001"/>
      <c r="K29" s="568"/>
      <c r="L29" s="568"/>
      <c r="M29" s="1092">
        <f>(I29/'[5]BM1 (3)'!J38)^(1/5)*100-100</f>
        <v>-100</v>
      </c>
      <c r="N29" s="578"/>
    </row>
    <row r="30" spans="1:20" s="564" customFormat="1" ht="17.25" customHeight="1">
      <c r="A30" s="562">
        <v>3</v>
      </c>
      <c r="B30" s="563" t="s">
        <v>391</v>
      </c>
      <c r="C30" s="562" t="s">
        <v>293</v>
      </c>
      <c r="D30" s="716">
        <f>'BM5 '!D9</f>
        <v>4000.36</v>
      </c>
      <c r="E30" s="716">
        <f>'BM5 '!E9</f>
        <v>1303</v>
      </c>
      <c r="F30" s="716">
        <f>'BM5 '!F9</f>
        <v>1501.3</v>
      </c>
      <c r="G30" s="716">
        <f>'BM5 '!G9</f>
        <v>1726.7</v>
      </c>
      <c r="H30" s="716">
        <f>'BM5 '!H9</f>
        <v>1986.6</v>
      </c>
      <c r="I30" s="716">
        <f>'BM5 '!I9</f>
        <v>2286.1</v>
      </c>
      <c r="J30" s="1005">
        <f>I30</f>
        <v>2286.1</v>
      </c>
      <c r="K30" s="579"/>
      <c r="L30" s="579"/>
      <c r="M30" s="1094"/>
      <c r="N30" s="1086">
        <f>G17-F17</f>
        <v>0.5244093391294875</v>
      </c>
      <c r="P30" s="565"/>
      <c r="S30" s="564" t="s">
        <v>987</v>
      </c>
      <c r="T30" s="564">
        <v>2</v>
      </c>
    </row>
    <row r="31" spans="1:20" s="564" customFormat="1" ht="17.25" customHeight="1">
      <c r="A31" s="562">
        <v>4</v>
      </c>
      <c r="B31" s="563" t="s">
        <v>973</v>
      </c>
      <c r="C31" s="562"/>
      <c r="D31" s="724"/>
      <c r="E31" s="724"/>
      <c r="F31" s="724"/>
      <c r="G31" s="724"/>
      <c r="H31" s="724"/>
      <c r="I31" s="724"/>
      <c r="J31" s="1004"/>
      <c r="K31" s="579"/>
      <c r="L31" s="579"/>
      <c r="M31" s="1094"/>
      <c r="N31" s="1086"/>
      <c r="P31" s="565"/>
      <c r="S31" s="564" t="s">
        <v>988</v>
      </c>
      <c r="T31" s="564">
        <v>4</v>
      </c>
    </row>
    <row r="32" spans="1:20" s="572" customFormat="1" ht="16.5">
      <c r="A32" s="569"/>
      <c r="B32" s="570" t="s">
        <v>974</v>
      </c>
      <c r="C32" s="569" t="s">
        <v>392</v>
      </c>
      <c r="D32" s="859">
        <f>'BM2 a'!C19</f>
        <v>51.53099999999999</v>
      </c>
      <c r="E32" s="859">
        <f>'BM2 a'!D19</f>
        <v>51.17999999999999</v>
      </c>
      <c r="F32" s="859">
        <f>'BM2 a'!E19</f>
        <v>50.88199999999999</v>
      </c>
      <c r="G32" s="859">
        <f>'BM2 a'!F19</f>
        <v>50.580999999999996</v>
      </c>
      <c r="H32" s="859">
        <f>'BM2 a'!G19</f>
        <v>50.28099999999999</v>
      </c>
      <c r="I32" s="859">
        <f>'BM2 a'!H19</f>
        <v>49.980999999999995</v>
      </c>
      <c r="J32" s="1150">
        <f>I32</f>
        <v>49.980999999999995</v>
      </c>
      <c r="K32" s="571"/>
      <c r="L32" s="571"/>
      <c r="M32" s="1092"/>
      <c r="S32" s="572" t="s">
        <v>989</v>
      </c>
      <c r="T32" s="572">
        <v>3</v>
      </c>
    </row>
    <row r="33" spans="1:20" s="572" customFormat="1" ht="16.5">
      <c r="A33" s="569"/>
      <c r="B33" s="570" t="s">
        <v>975</v>
      </c>
      <c r="C33" s="569" t="s">
        <v>392</v>
      </c>
      <c r="D33" s="859">
        <v>42.977</v>
      </c>
      <c r="E33" s="859">
        <v>42.627</v>
      </c>
      <c r="F33" s="859">
        <v>42.327</v>
      </c>
      <c r="G33" s="859">
        <v>42.027</v>
      </c>
      <c r="H33" s="859">
        <v>41.727</v>
      </c>
      <c r="I33" s="859">
        <v>41.427</v>
      </c>
      <c r="J33" s="1150">
        <f>I33</f>
        <v>41.427</v>
      </c>
      <c r="K33" s="571"/>
      <c r="L33" s="571"/>
      <c r="M33" s="1092"/>
      <c r="S33" s="572" t="s">
        <v>990</v>
      </c>
      <c r="T33" s="572">
        <v>5</v>
      </c>
    </row>
    <row r="34" spans="1:20" s="572" customFormat="1" ht="16.5">
      <c r="A34" s="569"/>
      <c r="B34" s="570" t="s">
        <v>976</v>
      </c>
      <c r="C34" s="569" t="s">
        <v>393</v>
      </c>
      <c r="D34" s="923">
        <f>'BM2 a'!C24</f>
        <v>129.429</v>
      </c>
      <c r="E34" s="859">
        <f>'BM2 a'!D24</f>
        <v>130.998</v>
      </c>
      <c r="F34" s="859">
        <f>'BM2 a'!E24</f>
        <v>132.086</v>
      </c>
      <c r="G34" s="859">
        <f>'BM2 a'!F24</f>
        <v>133.03300000000002</v>
      </c>
      <c r="H34" s="859">
        <f>'BM2 a'!G24</f>
        <v>134.39499999999998</v>
      </c>
      <c r="I34" s="859">
        <f>'BM2 a'!H24</f>
        <v>134.564</v>
      </c>
      <c r="J34" s="1151">
        <f>E34+F34+G34+H34+I34</f>
        <v>665.0759999999999</v>
      </c>
      <c r="K34" s="1119"/>
      <c r="L34" s="1119"/>
      <c r="M34" s="1120"/>
      <c r="S34" s="572" t="s">
        <v>991</v>
      </c>
      <c r="T34" s="572">
        <v>4</v>
      </c>
    </row>
    <row r="35" spans="1:20" s="572" customFormat="1" ht="16.5">
      <c r="A35" s="569"/>
      <c r="B35" s="570" t="s">
        <v>977</v>
      </c>
      <c r="C35" s="569" t="s">
        <v>298</v>
      </c>
      <c r="D35" s="1141">
        <f>'[5]BM1 (2)'!K32</f>
        <v>55.294000000000004</v>
      </c>
      <c r="E35" s="569">
        <v>60</v>
      </c>
      <c r="F35" s="569">
        <v>66</v>
      </c>
      <c r="G35" s="569">
        <v>69</v>
      </c>
      <c r="H35" s="569">
        <v>71</v>
      </c>
      <c r="I35" s="569">
        <v>73</v>
      </c>
      <c r="J35" s="1011">
        <f aca="true" t="shared" si="4" ref="J35:J41">I35</f>
        <v>73</v>
      </c>
      <c r="K35" s="571"/>
      <c r="L35" s="571"/>
      <c r="M35" s="1092"/>
      <c r="S35" s="572" t="s">
        <v>992</v>
      </c>
      <c r="T35" s="572">
        <v>4</v>
      </c>
    </row>
    <row r="36" spans="1:20" s="572" customFormat="1" ht="16.5">
      <c r="A36" s="569"/>
      <c r="B36" s="570" t="s">
        <v>978</v>
      </c>
      <c r="C36" s="569" t="s">
        <v>394</v>
      </c>
      <c r="D36" s="924">
        <v>1.2</v>
      </c>
      <c r="E36" s="569">
        <v>1.2</v>
      </c>
      <c r="F36" s="569">
        <v>1.2</v>
      </c>
      <c r="G36" s="569">
        <v>1.2</v>
      </c>
      <c r="H36" s="863">
        <v>1.21</v>
      </c>
      <c r="I36" s="1152">
        <v>1.21</v>
      </c>
      <c r="J36" s="1020">
        <f t="shared" si="4"/>
        <v>1.21</v>
      </c>
      <c r="K36" s="571"/>
      <c r="L36" s="571"/>
      <c r="M36" s="1092"/>
      <c r="S36" s="572" t="s">
        <v>993</v>
      </c>
      <c r="T36" s="572">
        <v>4</v>
      </c>
    </row>
    <row r="37" spans="1:20" s="572" customFormat="1" ht="16.5">
      <c r="A37" s="569"/>
      <c r="B37" s="570" t="s">
        <v>983</v>
      </c>
      <c r="C37" s="569" t="s">
        <v>394</v>
      </c>
      <c r="D37" s="1073">
        <v>1.64</v>
      </c>
      <c r="E37" s="1142">
        <f>'BM2 b'!D8</f>
        <v>1.68</v>
      </c>
      <c r="F37" s="1142">
        <f>'BM2 b'!E8</f>
        <v>1.7</v>
      </c>
      <c r="G37" s="1142">
        <f>'BM2 b'!F8</f>
        <v>1.7</v>
      </c>
      <c r="H37" s="1142">
        <f>'BM2 b'!G8</f>
        <v>1.73</v>
      </c>
      <c r="I37" s="1142">
        <f>'BM2 b'!H8</f>
        <v>1.8</v>
      </c>
      <c r="J37" s="1020">
        <f t="shared" si="4"/>
        <v>1.8</v>
      </c>
      <c r="K37" s="571"/>
      <c r="L37" s="571"/>
      <c r="M37" s="1092"/>
      <c r="N37" s="1083"/>
      <c r="S37" s="572" t="s">
        <v>994</v>
      </c>
      <c r="T37" s="572">
        <v>5</v>
      </c>
    </row>
    <row r="38" spans="1:20" s="572" customFormat="1" ht="16.5">
      <c r="A38" s="569"/>
      <c r="B38" s="570" t="s">
        <v>979</v>
      </c>
      <c r="C38" s="569" t="s">
        <v>980</v>
      </c>
      <c r="D38" s="867">
        <v>29.022</v>
      </c>
      <c r="E38" s="867">
        <v>30.106</v>
      </c>
      <c r="F38" s="867">
        <v>29.918</v>
      </c>
      <c r="G38" s="867">
        <v>29.684</v>
      </c>
      <c r="H38" s="867">
        <v>29.575</v>
      </c>
      <c r="I38" s="867">
        <v>29.357</v>
      </c>
      <c r="J38" s="1007">
        <f t="shared" si="4"/>
        <v>29.357</v>
      </c>
      <c r="K38" s="571"/>
      <c r="L38" s="571"/>
      <c r="M38" s="1092"/>
      <c r="S38" s="572" t="s">
        <v>995</v>
      </c>
      <c r="T38" s="572">
        <v>4</v>
      </c>
    </row>
    <row r="39" spans="1:20" s="572" customFormat="1" ht="16.5">
      <c r="A39" s="569"/>
      <c r="B39" s="570" t="s">
        <v>774</v>
      </c>
      <c r="C39" s="569" t="s">
        <v>980</v>
      </c>
      <c r="D39" s="867">
        <v>15.566</v>
      </c>
      <c r="E39" s="867">
        <v>17.772</v>
      </c>
      <c r="F39" s="867">
        <v>18.972</v>
      </c>
      <c r="G39" s="867">
        <v>19.107</v>
      </c>
      <c r="H39" s="867">
        <v>19.727</v>
      </c>
      <c r="I39" s="867">
        <v>21.041</v>
      </c>
      <c r="J39" s="1007">
        <f t="shared" si="4"/>
        <v>21.041</v>
      </c>
      <c r="K39" s="571"/>
      <c r="L39" s="571"/>
      <c r="M39" s="1092"/>
      <c r="S39" s="572" t="s">
        <v>996</v>
      </c>
      <c r="T39" s="572">
        <v>3</v>
      </c>
    </row>
    <row r="40" spans="1:13" s="572" customFormat="1" ht="16.5">
      <c r="A40" s="569"/>
      <c r="B40" s="570" t="s">
        <v>981</v>
      </c>
      <c r="C40" s="569" t="s">
        <v>6</v>
      </c>
      <c r="D40" s="1145">
        <f aca="true" t="shared" si="5" ref="D40:I40">(D39/D38)*100</f>
        <v>53.63517331679416</v>
      </c>
      <c r="E40" s="1145">
        <f t="shared" si="5"/>
        <v>59.0314223078456</v>
      </c>
      <c r="F40" s="1145">
        <f t="shared" si="5"/>
        <v>63.41332976803263</v>
      </c>
      <c r="G40" s="1145">
        <f t="shared" si="5"/>
        <v>64.36800970219646</v>
      </c>
      <c r="H40" s="1145">
        <f t="shared" si="5"/>
        <v>66.70160608622147</v>
      </c>
      <c r="I40" s="1145">
        <f t="shared" si="5"/>
        <v>71.67285485574139</v>
      </c>
      <c r="J40" s="1011">
        <f t="shared" si="4"/>
        <v>71.67285485574139</v>
      </c>
      <c r="K40" s="571"/>
      <c r="L40" s="571"/>
      <c r="M40" s="1092"/>
    </row>
    <row r="41" spans="1:13" s="583" customFormat="1" ht="16.5">
      <c r="A41" s="580">
        <v>5</v>
      </c>
      <c r="B41" s="581" t="s">
        <v>959</v>
      </c>
      <c r="C41" s="580" t="s">
        <v>298</v>
      </c>
      <c r="D41" s="1122">
        <f>'[5]BM1 (2)'!$K$34</f>
        <v>28.514</v>
      </c>
      <c r="E41" s="580">
        <v>34</v>
      </c>
      <c r="F41" s="1123">
        <v>37</v>
      </c>
      <c r="G41" s="580">
        <v>41</v>
      </c>
      <c r="H41" s="580">
        <v>45</v>
      </c>
      <c r="I41" s="580">
        <v>50</v>
      </c>
      <c r="J41" s="1124">
        <f t="shared" si="4"/>
        <v>50</v>
      </c>
      <c r="K41" s="582"/>
      <c r="L41" s="582"/>
      <c r="M41" s="1095"/>
    </row>
    <row r="42" spans="1:13" s="583" customFormat="1" ht="16.5">
      <c r="A42" s="580">
        <v>6</v>
      </c>
      <c r="B42" s="581" t="s">
        <v>672</v>
      </c>
      <c r="C42" s="580" t="s">
        <v>293</v>
      </c>
      <c r="D42" s="1122">
        <f>'BM11R'!E7</f>
        <v>337.29</v>
      </c>
      <c r="E42" s="1122">
        <f>'BM11R'!F7</f>
        <v>65</v>
      </c>
      <c r="F42" s="1122">
        <f>'BM11R'!G7</f>
        <v>68</v>
      </c>
      <c r="G42" s="1122">
        <f>'BM11R'!H7</f>
        <v>71</v>
      </c>
      <c r="H42" s="1122">
        <f>'BM11R'!I7</f>
        <v>74</v>
      </c>
      <c r="I42" s="1122">
        <f>'BM11R'!J7</f>
        <v>76</v>
      </c>
      <c r="J42" s="1125">
        <f>E42+F42+G42+H42+I42</f>
        <v>354</v>
      </c>
      <c r="K42" s="582"/>
      <c r="L42" s="582"/>
      <c r="M42" s="1095"/>
    </row>
    <row r="43" spans="1:16" s="564" customFormat="1" ht="16.5" hidden="1">
      <c r="A43" s="562">
        <v>10</v>
      </c>
      <c r="B43" s="563" t="s">
        <v>395</v>
      </c>
      <c r="C43" s="562" t="s">
        <v>293</v>
      </c>
      <c r="D43" s="562"/>
      <c r="E43" s="561"/>
      <c r="F43" s="561"/>
      <c r="G43" s="561"/>
      <c r="H43" s="561"/>
      <c r="I43" s="561"/>
      <c r="J43" s="1009"/>
      <c r="K43" s="566"/>
      <c r="L43" s="566"/>
      <c r="M43" s="1090"/>
      <c r="P43" s="565"/>
    </row>
    <row r="44" spans="1:16" s="564" customFormat="1" ht="16.5">
      <c r="A44" s="562">
        <v>7</v>
      </c>
      <c r="B44" s="563" t="s">
        <v>396</v>
      </c>
      <c r="C44" s="562"/>
      <c r="D44" s="716">
        <f aca="true" t="shared" si="6" ref="D44:J44">D45+D48</f>
        <v>1647.948</v>
      </c>
      <c r="E44" s="716">
        <f t="shared" si="6"/>
        <v>428</v>
      </c>
      <c r="F44" s="716">
        <f t="shared" si="6"/>
        <v>470</v>
      </c>
      <c r="G44" s="716">
        <f t="shared" si="6"/>
        <v>517</v>
      </c>
      <c r="H44" s="716">
        <f t="shared" si="6"/>
        <v>568</v>
      </c>
      <c r="I44" s="716">
        <f t="shared" si="6"/>
        <v>624</v>
      </c>
      <c r="J44" s="1000">
        <f t="shared" si="6"/>
        <v>2607</v>
      </c>
      <c r="K44" s="566"/>
      <c r="L44" s="566"/>
      <c r="M44" s="1090"/>
      <c r="P44" s="565"/>
    </row>
    <row r="45" spans="1:13" ht="16.5">
      <c r="A45" s="561" t="s">
        <v>397</v>
      </c>
      <c r="B45" s="567" t="s">
        <v>398</v>
      </c>
      <c r="C45" s="561" t="s">
        <v>293</v>
      </c>
      <c r="D45" s="724">
        <f>'BM11R'!E22</f>
        <v>231.847</v>
      </c>
      <c r="E45" s="724">
        <f>'BM11R'!F22</f>
        <v>85</v>
      </c>
      <c r="F45" s="724">
        <f>'BM11R'!G22</f>
        <v>95</v>
      </c>
      <c r="G45" s="724">
        <f>'BM11R'!H22</f>
        <v>105</v>
      </c>
      <c r="H45" s="724">
        <f>'BM11R'!I22</f>
        <v>115</v>
      </c>
      <c r="I45" s="724">
        <f>'BM11R'!J22</f>
        <v>130</v>
      </c>
      <c r="J45" s="1010">
        <f>E45+F45+G45+H45+I45</f>
        <v>530</v>
      </c>
      <c r="K45" s="568"/>
      <c r="L45" s="568"/>
      <c r="M45" s="1091"/>
    </row>
    <row r="46" spans="1:13" ht="16.5" hidden="1">
      <c r="A46" s="561"/>
      <c r="B46" s="567" t="s">
        <v>399</v>
      </c>
      <c r="C46" s="561" t="s">
        <v>293</v>
      </c>
      <c r="D46" s="561"/>
      <c r="E46" s="561"/>
      <c r="F46" s="561"/>
      <c r="G46" s="561"/>
      <c r="H46" s="561"/>
      <c r="I46" s="561"/>
      <c r="J46" s="1001"/>
      <c r="K46" s="568"/>
      <c r="L46" s="568"/>
      <c r="M46" s="1091"/>
    </row>
    <row r="47" spans="1:13" ht="16.5" hidden="1">
      <c r="A47" s="561"/>
      <c r="B47" s="567" t="s">
        <v>400</v>
      </c>
      <c r="C47" s="561" t="s">
        <v>293</v>
      </c>
      <c r="D47" s="561"/>
      <c r="E47" s="561"/>
      <c r="F47" s="561"/>
      <c r="G47" s="561"/>
      <c r="H47" s="561"/>
      <c r="I47" s="561"/>
      <c r="J47" s="1001"/>
      <c r="K47" s="568"/>
      <c r="L47" s="568"/>
      <c r="M47" s="1091"/>
    </row>
    <row r="48" spans="1:13" ht="16.5">
      <c r="A48" s="561" t="s">
        <v>401</v>
      </c>
      <c r="B48" s="567" t="s">
        <v>402</v>
      </c>
      <c r="C48" s="561" t="s">
        <v>293</v>
      </c>
      <c r="D48" s="724">
        <f>'BM11R'!E20</f>
        <v>1416.101</v>
      </c>
      <c r="E48" s="724">
        <f>'BM11R'!F20</f>
        <v>343</v>
      </c>
      <c r="F48" s="724">
        <f>'BM11R'!G20</f>
        <v>375</v>
      </c>
      <c r="G48" s="724">
        <f>'BM11R'!H20</f>
        <v>412</v>
      </c>
      <c r="H48" s="724">
        <f>'BM11R'!I20</f>
        <v>453</v>
      </c>
      <c r="I48" s="724">
        <f>'BM11R'!J20</f>
        <v>494</v>
      </c>
      <c r="J48" s="1010">
        <f>E48+F48+G48+H48+I48</f>
        <v>2077</v>
      </c>
      <c r="K48" s="568"/>
      <c r="L48" s="568"/>
      <c r="M48" s="1091"/>
    </row>
    <row r="49" spans="1:16" s="564" customFormat="1" ht="16.5">
      <c r="A49" s="562">
        <v>8</v>
      </c>
      <c r="B49" s="563" t="s">
        <v>403</v>
      </c>
      <c r="C49" s="562"/>
      <c r="D49" s="858">
        <f aca="true" t="shared" si="7" ref="D49:I49">SUM(D50:D51)</f>
        <v>132.8154</v>
      </c>
      <c r="E49" s="562">
        <f t="shared" si="7"/>
        <v>185</v>
      </c>
      <c r="F49" s="562">
        <f t="shared" si="7"/>
        <v>205</v>
      </c>
      <c r="G49" s="562">
        <f t="shared" si="7"/>
        <v>225</v>
      </c>
      <c r="H49" s="562">
        <f t="shared" si="7"/>
        <v>250</v>
      </c>
      <c r="I49" s="562">
        <f t="shared" si="7"/>
        <v>275</v>
      </c>
      <c r="J49" s="1154">
        <f>J50+J51</f>
        <v>1140</v>
      </c>
      <c r="K49" s="566"/>
      <c r="L49" s="566"/>
      <c r="M49" s="1090"/>
      <c r="P49" s="565"/>
    </row>
    <row r="50" spans="1:13" ht="16.5">
      <c r="A50" s="561"/>
      <c r="B50" s="567" t="s">
        <v>404</v>
      </c>
      <c r="C50" s="561" t="s">
        <v>293</v>
      </c>
      <c r="D50" s="724">
        <f>'[5]BM1 (2)'!K43</f>
        <v>86.446</v>
      </c>
      <c r="E50" s="857">
        <v>100</v>
      </c>
      <c r="F50" s="857">
        <v>110</v>
      </c>
      <c r="G50" s="857">
        <v>120</v>
      </c>
      <c r="H50" s="857">
        <v>135</v>
      </c>
      <c r="I50" s="857">
        <v>145</v>
      </c>
      <c r="J50" s="1153">
        <f>E50+F50+G50+H50+I50</f>
        <v>610</v>
      </c>
      <c r="K50" s="568"/>
      <c r="L50" s="568"/>
      <c r="M50" s="1091"/>
    </row>
    <row r="51" spans="1:13" ht="16.5">
      <c r="A51" s="561"/>
      <c r="B51" s="567" t="s">
        <v>405</v>
      </c>
      <c r="C51" s="561" t="s">
        <v>293</v>
      </c>
      <c r="D51" s="724">
        <f>'[5]BM1 (2)'!K44</f>
        <v>46.3694</v>
      </c>
      <c r="E51" s="857">
        <f>E45</f>
        <v>85</v>
      </c>
      <c r="F51" s="857">
        <f>F45</f>
        <v>95</v>
      </c>
      <c r="G51" s="857">
        <f>G45</f>
        <v>105</v>
      </c>
      <c r="H51" s="857">
        <f>H45</f>
        <v>115</v>
      </c>
      <c r="I51" s="857">
        <f>I45</f>
        <v>130</v>
      </c>
      <c r="J51" s="1153">
        <f>E51+F51+G51+H51+I51</f>
        <v>530</v>
      </c>
      <c r="K51" s="568"/>
      <c r="L51" s="568"/>
      <c r="M51" s="1091"/>
    </row>
    <row r="52" spans="1:16" s="564" customFormat="1" ht="16.5">
      <c r="A52" s="562">
        <v>9</v>
      </c>
      <c r="B52" s="563" t="s">
        <v>406</v>
      </c>
      <c r="C52" s="562"/>
      <c r="D52" s="562"/>
      <c r="E52" s="562"/>
      <c r="F52" s="562"/>
      <c r="G52" s="562"/>
      <c r="H52" s="562"/>
      <c r="I52" s="562"/>
      <c r="J52" s="1009"/>
      <c r="K52" s="566"/>
      <c r="L52" s="566"/>
      <c r="M52" s="1090"/>
      <c r="P52" s="565"/>
    </row>
    <row r="53" spans="1:13" ht="16.5">
      <c r="A53" s="561"/>
      <c r="B53" s="567" t="s">
        <v>407</v>
      </c>
      <c r="C53" s="561" t="s">
        <v>408</v>
      </c>
      <c r="D53" s="724">
        <f>'[5]BM1 (2)'!K46</f>
        <v>179.62800000000001</v>
      </c>
      <c r="E53" s="561">
        <v>12</v>
      </c>
      <c r="F53" s="561">
        <v>12</v>
      </c>
      <c r="G53" s="561">
        <v>12</v>
      </c>
      <c r="H53" s="561">
        <v>12</v>
      </c>
      <c r="I53" s="561">
        <v>12</v>
      </c>
      <c r="J53" s="1001">
        <f>SUM(E53:I53)</f>
        <v>60</v>
      </c>
      <c r="K53" s="568"/>
      <c r="L53" s="568"/>
      <c r="M53" s="1091"/>
    </row>
    <row r="54" spans="1:13" ht="16.5">
      <c r="A54" s="561"/>
      <c r="B54" s="567" t="s">
        <v>409</v>
      </c>
      <c r="C54" s="561" t="s">
        <v>408</v>
      </c>
      <c r="D54" s="724">
        <f>'[5]BM1 (2)'!K47</f>
        <v>22</v>
      </c>
      <c r="E54" s="561">
        <v>5</v>
      </c>
      <c r="F54" s="561">
        <v>5</v>
      </c>
      <c r="G54" s="561">
        <v>3</v>
      </c>
      <c r="H54" s="561">
        <v>2</v>
      </c>
      <c r="I54" s="561">
        <v>3</v>
      </c>
      <c r="J54" s="1001">
        <f>SUM(E54:I54)</f>
        <v>18</v>
      </c>
      <c r="K54" s="568"/>
      <c r="L54" s="568"/>
      <c r="M54" s="1091"/>
    </row>
    <row r="55" spans="1:16" s="1130" customFormat="1" ht="16.5">
      <c r="A55" s="1126"/>
      <c r="B55" s="1127" t="s">
        <v>410</v>
      </c>
      <c r="C55" s="1126" t="s">
        <v>6</v>
      </c>
      <c r="D55" s="1128">
        <f>'[5]BM1 (2)'!K48</f>
        <v>100</v>
      </c>
      <c r="E55" s="1126">
        <v>100</v>
      </c>
      <c r="F55" s="1126">
        <v>100</v>
      </c>
      <c r="G55" s="1126">
        <v>100</v>
      </c>
      <c r="H55" s="1126">
        <v>100</v>
      </c>
      <c r="I55" s="1126">
        <v>100</v>
      </c>
      <c r="J55" s="1129">
        <v>100</v>
      </c>
      <c r="K55" s="573"/>
      <c r="L55" s="573"/>
      <c r="M55" s="1121"/>
      <c r="P55" s="1131"/>
    </row>
    <row r="56" spans="1:13" s="572" customFormat="1" ht="16.5" hidden="1">
      <c r="A56" s="569"/>
      <c r="B56" s="952" t="s">
        <v>411</v>
      </c>
      <c r="C56" s="569" t="s">
        <v>6</v>
      </c>
      <c r="D56" s="855">
        <f>'[5]BM1 (2)'!$K$51</f>
        <v>36.220175630459366</v>
      </c>
      <c r="E56" s="859" t="e">
        <f>#REF!/#REF!*100</f>
        <v>#REF!</v>
      </c>
      <c r="F56" s="859" t="e">
        <f>#REF!/#REF!*100</f>
        <v>#REF!</v>
      </c>
      <c r="G56" s="859" t="e">
        <f>#REF!/#REF!*100</f>
        <v>#REF!</v>
      </c>
      <c r="H56" s="859" t="e">
        <f>#REF!/#REF!*100</f>
        <v>#REF!</v>
      </c>
      <c r="I56" s="859" t="e">
        <f>#REF!/#REF!*100</f>
        <v>#REF!</v>
      </c>
      <c r="J56" s="1012" t="e">
        <f>SUM(E56:I56)/5</f>
        <v>#REF!</v>
      </c>
      <c r="K56" s="571"/>
      <c r="L56" s="571"/>
      <c r="M56" s="1092"/>
    </row>
    <row r="57" spans="1:16" s="564" customFormat="1" ht="16.5">
      <c r="A57" s="562">
        <v>10</v>
      </c>
      <c r="B57" s="563" t="s">
        <v>412</v>
      </c>
      <c r="C57" s="562" t="s">
        <v>413</v>
      </c>
      <c r="D57" s="716">
        <f>'[5]BM1 (2)'!$K$52</f>
        <v>3264.7</v>
      </c>
      <c r="E57" s="562">
        <v>850</v>
      </c>
      <c r="F57" s="562">
        <v>900</v>
      </c>
      <c r="G57" s="562">
        <v>1000</v>
      </c>
      <c r="H57" s="562">
        <v>1100</v>
      </c>
      <c r="I57" s="562">
        <v>1150</v>
      </c>
      <c r="J57" s="1022">
        <f>SUM(E57:I57)</f>
        <v>5000</v>
      </c>
      <c r="K57" s="566"/>
      <c r="L57" s="566"/>
      <c r="M57" s="1090"/>
      <c r="P57" s="565"/>
    </row>
    <row r="58" spans="1:16" s="564" customFormat="1" ht="16.5">
      <c r="A58" s="562" t="s">
        <v>30</v>
      </c>
      <c r="B58" s="563" t="s">
        <v>414</v>
      </c>
      <c r="C58" s="562"/>
      <c r="D58" s="562"/>
      <c r="E58" s="562"/>
      <c r="F58" s="562"/>
      <c r="G58" s="562"/>
      <c r="H58" s="562"/>
      <c r="I58" s="562"/>
      <c r="J58" s="1009"/>
      <c r="K58" s="566"/>
      <c r="L58" s="566"/>
      <c r="M58" s="1090"/>
      <c r="P58" s="565"/>
    </row>
    <row r="59" spans="1:16" s="564" customFormat="1" ht="16.5">
      <c r="A59" s="562">
        <v>1</v>
      </c>
      <c r="B59" s="563" t="s">
        <v>415</v>
      </c>
      <c r="C59" s="562" t="s">
        <v>982</v>
      </c>
      <c r="D59" s="860">
        <f>'[5]BM1 (3)'!$K$58</f>
        <v>72083</v>
      </c>
      <c r="E59" s="860">
        <f>'BM8r'!E35</f>
        <v>73527</v>
      </c>
      <c r="F59" s="860">
        <f>'BM8r'!F35</f>
        <v>74884</v>
      </c>
      <c r="G59" s="860">
        <f>'BM8r'!G35</f>
        <v>76307</v>
      </c>
      <c r="H59" s="860">
        <f>'BM8r'!H35</f>
        <v>77729</v>
      </c>
      <c r="I59" s="860">
        <f>'BM8r'!I35</f>
        <v>79052</v>
      </c>
      <c r="J59" s="1005">
        <f>I59</f>
        <v>79052</v>
      </c>
      <c r="K59" s="584"/>
      <c r="L59" s="584"/>
      <c r="M59" s="1096"/>
      <c r="P59" s="565"/>
    </row>
    <row r="60" spans="1:13" ht="16.5">
      <c r="A60" s="561"/>
      <c r="B60" s="567" t="s">
        <v>416</v>
      </c>
      <c r="C60" s="561" t="s">
        <v>6</v>
      </c>
      <c r="D60" s="724">
        <v>1.41</v>
      </c>
      <c r="E60" s="724">
        <f>'BM8r'!E38</f>
        <v>1.29</v>
      </c>
      <c r="F60" s="724">
        <f>'BM8r'!F38</f>
        <v>1.28</v>
      </c>
      <c r="G60" s="724">
        <f>'BM8r'!G38</f>
        <v>1.27</v>
      </c>
      <c r="H60" s="724">
        <f>'BM8r'!H38</f>
        <v>1.25</v>
      </c>
      <c r="I60" s="724">
        <f>'BM8r'!I38</f>
        <v>1.2</v>
      </c>
      <c r="J60" s="1010">
        <f>I60</f>
        <v>1.2</v>
      </c>
      <c r="K60" s="568"/>
      <c r="L60" s="568"/>
      <c r="M60" s="1091"/>
    </row>
    <row r="61" spans="1:13" s="572" customFormat="1" ht="16.5">
      <c r="A61" s="569"/>
      <c r="B61" s="570" t="s">
        <v>417</v>
      </c>
      <c r="C61" s="569" t="s">
        <v>15</v>
      </c>
      <c r="D61" s="871">
        <f>'BM8r'!D37</f>
        <v>0.7</v>
      </c>
      <c r="E61" s="871">
        <f>'BM8r'!E37</f>
        <v>0.5</v>
      </c>
      <c r="F61" s="871">
        <f>'BM8r'!F37</f>
        <v>0.6</v>
      </c>
      <c r="G61" s="871">
        <f>'BM8r'!G37</f>
        <v>0.8</v>
      </c>
      <c r="H61" s="871">
        <f>'BM8r'!H37</f>
        <v>0.5</v>
      </c>
      <c r="I61" s="871">
        <f>'BM8r'!I37</f>
        <v>0.4</v>
      </c>
      <c r="J61" s="1013">
        <f>I61</f>
        <v>0.4</v>
      </c>
      <c r="K61" s="571"/>
      <c r="L61" s="571"/>
      <c r="M61" s="1092"/>
    </row>
    <row r="62" spans="1:13" s="572" customFormat="1" ht="16.5">
      <c r="A62" s="569"/>
      <c r="B62" s="570" t="s">
        <v>418</v>
      </c>
      <c r="C62" s="569" t="s">
        <v>25</v>
      </c>
      <c r="D62" s="569">
        <v>70</v>
      </c>
      <c r="E62" s="1074">
        <f>'BM8r'!E39</f>
        <v>70.4</v>
      </c>
      <c r="F62" s="1074">
        <f>'BM8r'!F39</f>
        <v>70.8</v>
      </c>
      <c r="G62" s="1074">
        <f>'BM8r'!G39</f>
        <v>71</v>
      </c>
      <c r="H62" s="1074">
        <f>'BM8r'!H39</f>
        <v>71.5</v>
      </c>
      <c r="I62" s="1074">
        <f>'BM8r'!I39</f>
        <v>72</v>
      </c>
      <c r="J62" s="1002">
        <f>I62</f>
        <v>72</v>
      </c>
      <c r="K62" s="571"/>
      <c r="L62" s="571"/>
      <c r="M62" s="1092"/>
    </row>
    <row r="63" spans="1:16" s="564" customFormat="1" ht="16.5">
      <c r="A63" s="562">
        <v>2</v>
      </c>
      <c r="B63" s="563" t="s">
        <v>419</v>
      </c>
      <c r="C63" s="562"/>
      <c r="D63" s="562"/>
      <c r="E63" s="562"/>
      <c r="F63" s="562"/>
      <c r="G63" s="562"/>
      <c r="H63" s="562"/>
      <c r="I63" s="562"/>
      <c r="J63" s="1009"/>
      <c r="K63" s="566"/>
      <c r="L63" s="566"/>
      <c r="M63" s="1090"/>
      <c r="P63" s="565"/>
    </row>
    <row r="64" spans="1:13" ht="16.5" hidden="1">
      <c r="A64" s="561"/>
      <c r="B64" s="567" t="s">
        <v>420</v>
      </c>
      <c r="C64" s="561" t="s">
        <v>6</v>
      </c>
      <c r="D64" s="561">
        <v>100</v>
      </c>
      <c r="E64" s="561">
        <v>100</v>
      </c>
      <c r="F64" s="561">
        <v>100</v>
      </c>
      <c r="G64" s="561">
        <v>100</v>
      </c>
      <c r="H64" s="561">
        <v>100</v>
      </c>
      <c r="I64" s="561">
        <v>100</v>
      </c>
      <c r="J64" s="1001">
        <v>100</v>
      </c>
      <c r="K64" s="568"/>
      <c r="L64" s="568"/>
      <c r="M64" s="1091"/>
    </row>
    <row r="65" spans="1:14" ht="16.5">
      <c r="A65" s="561"/>
      <c r="B65" s="664" t="s">
        <v>901</v>
      </c>
      <c r="C65" s="561" t="s">
        <v>6</v>
      </c>
      <c r="D65" s="1132">
        <f>'BM7 r'!D14</f>
        <v>42.5531914893617</v>
      </c>
      <c r="E65" s="561">
        <f>'BM7 r'!E14</f>
        <v>44.2</v>
      </c>
      <c r="F65" s="561">
        <f>'BM7 r'!F14</f>
        <v>46.5</v>
      </c>
      <c r="G65" s="561">
        <f>'BM7 r'!G14</f>
        <v>48.8</v>
      </c>
      <c r="H65" s="561">
        <f>'BM7 r'!H14</f>
        <v>50</v>
      </c>
      <c r="I65" s="561">
        <f>'BM7 r'!I14</f>
        <v>50</v>
      </c>
      <c r="J65" s="998">
        <f>I65</f>
        <v>50</v>
      </c>
      <c r="K65" s="585"/>
      <c r="L65" s="585"/>
      <c r="M65" s="1097"/>
      <c r="N65" s="586"/>
    </row>
    <row r="66" spans="1:14" ht="16.5" hidden="1">
      <c r="A66" s="561"/>
      <c r="B66" s="567" t="s">
        <v>422</v>
      </c>
      <c r="C66" s="561" t="s">
        <v>421</v>
      </c>
      <c r="D66" s="561"/>
      <c r="E66" s="561"/>
      <c r="F66" s="561"/>
      <c r="G66" s="561"/>
      <c r="H66" s="561"/>
      <c r="I66" s="561"/>
      <c r="J66" s="1001"/>
      <c r="K66" s="585"/>
      <c r="L66" s="585"/>
      <c r="M66" s="1097"/>
      <c r="N66" s="586"/>
    </row>
    <row r="67" spans="1:14" ht="16.5">
      <c r="A67" s="561"/>
      <c r="B67" s="567" t="s">
        <v>461</v>
      </c>
      <c r="C67" s="561" t="s">
        <v>6</v>
      </c>
      <c r="D67" s="561">
        <f>'BM7 r'!D15</f>
        <v>86</v>
      </c>
      <c r="E67" s="561">
        <f>'BM7 r'!E15</f>
        <v>87</v>
      </c>
      <c r="F67" s="561">
        <f>'BM7 r'!F15</f>
        <v>88</v>
      </c>
      <c r="G67" s="561">
        <f>'BM7 r'!G15</f>
        <v>89</v>
      </c>
      <c r="H67" s="561">
        <f>'BM7 r'!H15</f>
        <v>90</v>
      </c>
      <c r="I67" s="561">
        <f>'BM7 r'!I15</f>
        <v>91</v>
      </c>
      <c r="J67" s="998">
        <f>I67</f>
        <v>91</v>
      </c>
      <c r="K67" s="585"/>
      <c r="L67" s="585"/>
      <c r="M67" s="1097"/>
      <c r="N67" s="586"/>
    </row>
    <row r="68" spans="1:13" ht="16.5" hidden="1">
      <c r="A68" s="561"/>
      <c r="B68" s="567" t="s">
        <v>423</v>
      </c>
      <c r="C68" s="561" t="s">
        <v>6</v>
      </c>
      <c r="D68" s="561">
        <f>'BM7 r'!D16</f>
        <v>98</v>
      </c>
      <c r="E68" s="561"/>
      <c r="F68" s="561"/>
      <c r="G68" s="561"/>
      <c r="H68" s="561"/>
      <c r="I68" s="561"/>
      <c r="J68" s="1001"/>
      <c r="K68" s="568"/>
      <c r="L68" s="568"/>
      <c r="M68" s="1091"/>
    </row>
    <row r="69" spans="1:13" ht="16.5">
      <c r="A69" s="561"/>
      <c r="B69" s="662" t="s">
        <v>944</v>
      </c>
      <c r="C69" s="561" t="s">
        <v>6</v>
      </c>
      <c r="D69" s="561">
        <f>'BM7 r'!D16</f>
        <v>98</v>
      </c>
      <c r="E69" s="561">
        <f>'BM7 r'!E16</f>
        <v>98</v>
      </c>
      <c r="F69" s="561">
        <f>'BM7 r'!F16</f>
        <v>98</v>
      </c>
      <c r="G69" s="561">
        <f>'BM7 r'!G16</f>
        <v>98</v>
      </c>
      <c r="H69" s="561">
        <f>'BM7 r'!H16</f>
        <v>98</v>
      </c>
      <c r="I69" s="561">
        <v>98</v>
      </c>
      <c r="J69" s="1014">
        <f>I69</f>
        <v>98</v>
      </c>
      <c r="K69" s="568"/>
      <c r="L69" s="568"/>
      <c r="M69" s="1091"/>
    </row>
    <row r="70" spans="1:13" ht="16.5" hidden="1">
      <c r="A70" s="561"/>
      <c r="B70" s="567" t="s">
        <v>424</v>
      </c>
      <c r="C70" s="561" t="s">
        <v>425</v>
      </c>
      <c r="D70" s="561"/>
      <c r="E70" s="561"/>
      <c r="F70" s="561"/>
      <c r="G70" s="561"/>
      <c r="H70" s="561"/>
      <c r="I70" s="561"/>
      <c r="J70" s="1001"/>
      <c r="K70" s="568"/>
      <c r="L70" s="568"/>
      <c r="M70" s="1091"/>
    </row>
    <row r="71" spans="1:16" s="564" customFormat="1" ht="16.5">
      <c r="A71" s="562">
        <v>3</v>
      </c>
      <c r="B71" s="563" t="s">
        <v>173</v>
      </c>
      <c r="C71" s="562"/>
      <c r="D71" s="562"/>
      <c r="E71" s="562"/>
      <c r="F71" s="562"/>
      <c r="G71" s="562"/>
      <c r="H71" s="562"/>
      <c r="I71" s="562"/>
      <c r="J71" s="1009"/>
      <c r="K71" s="566"/>
      <c r="L71" s="566"/>
      <c r="M71" s="1090"/>
      <c r="P71" s="565"/>
    </row>
    <row r="72" spans="1:13" ht="16.5">
      <c r="A72" s="561"/>
      <c r="B72" s="567" t="s">
        <v>426</v>
      </c>
      <c r="C72" s="561" t="s">
        <v>6</v>
      </c>
      <c r="D72" s="561">
        <v>100</v>
      </c>
      <c r="E72" s="561">
        <v>100</v>
      </c>
      <c r="F72" s="561">
        <v>100</v>
      </c>
      <c r="G72" s="561">
        <v>100</v>
      </c>
      <c r="H72" s="561">
        <v>100</v>
      </c>
      <c r="I72" s="561">
        <v>100</v>
      </c>
      <c r="J72" s="1001">
        <v>100</v>
      </c>
      <c r="K72" s="568"/>
      <c r="L72" s="568"/>
      <c r="M72" s="1091"/>
    </row>
    <row r="73" spans="1:13" ht="16.5">
      <c r="A73" s="561"/>
      <c r="B73" s="567" t="s">
        <v>427</v>
      </c>
      <c r="C73" s="561" t="s">
        <v>428</v>
      </c>
      <c r="D73" s="724">
        <f>'BM8r'!D73</f>
        <v>18</v>
      </c>
      <c r="E73" s="724">
        <f>'BM8r'!E73</f>
        <v>19</v>
      </c>
      <c r="F73" s="724">
        <f>'BM8r'!F73</f>
        <v>20</v>
      </c>
      <c r="G73" s="724">
        <f>'BM8r'!G73</f>
        <v>20.3</v>
      </c>
      <c r="H73" s="724">
        <f>'BM8r'!H73</f>
        <v>20.5</v>
      </c>
      <c r="I73" s="724">
        <f>'BM8r'!I73</f>
        <v>20.8</v>
      </c>
      <c r="J73" s="1015">
        <f>I73</f>
        <v>20.8</v>
      </c>
      <c r="K73" s="568"/>
      <c r="L73" s="568"/>
      <c r="M73" s="1091"/>
    </row>
    <row r="74" spans="1:13" ht="16.5">
      <c r="A74" s="561"/>
      <c r="B74" s="567" t="s">
        <v>429</v>
      </c>
      <c r="C74" s="561" t="s">
        <v>430</v>
      </c>
      <c r="D74" s="724">
        <f>'BM8r'!D76</f>
        <v>5.1</v>
      </c>
      <c r="E74" s="724">
        <f>'BM8r'!E76</f>
        <v>5.3</v>
      </c>
      <c r="F74" s="724">
        <f>'BM8r'!F76</f>
        <v>5.3</v>
      </c>
      <c r="G74" s="724">
        <f>'BM8r'!G76</f>
        <v>5.4</v>
      </c>
      <c r="H74" s="724">
        <f>'BM8r'!H76</f>
        <v>5.5</v>
      </c>
      <c r="I74" s="724">
        <f>'BM8r'!I76</f>
        <v>5.6</v>
      </c>
      <c r="J74" s="1010">
        <f>I74</f>
        <v>5.6</v>
      </c>
      <c r="K74" s="568"/>
      <c r="L74" s="568"/>
      <c r="M74" s="1091"/>
    </row>
    <row r="75" spans="1:13" ht="16.5">
      <c r="A75" s="561"/>
      <c r="B75" s="567" t="s">
        <v>431</v>
      </c>
      <c r="C75" s="561" t="s">
        <v>6</v>
      </c>
      <c r="D75" s="724">
        <f>'BM8r'!D83</f>
        <v>66.6</v>
      </c>
      <c r="E75" s="724">
        <f>'BM8r'!E83</f>
        <v>83.3</v>
      </c>
      <c r="F75" s="724">
        <f>'BM8r'!F83</f>
        <v>100</v>
      </c>
      <c r="G75" s="724">
        <f>'BM8r'!G83</f>
        <v>100</v>
      </c>
      <c r="H75" s="724">
        <f>'BM8r'!H83</f>
        <v>100</v>
      </c>
      <c r="I75" s="724">
        <f>'BM8r'!I83</f>
        <v>100</v>
      </c>
      <c r="J75" s="1010">
        <f>'BM8r'!J83</f>
        <v>100</v>
      </c>
      <c r="K75" s="568"/>
      <c r="L75" s="568"/>
      <c r="M75" s="1091"/>
    </row>
    <row r="76" spans="1:13" s="572" customFormat="1" ht="16.5">
      <c r="A76" s="569"/>
      <c r="B76" s="570" t="s">
        <v>432</v>
      </c>
      <c r="C76" s="569" t="s">
        <v>6</v>
      </c>
      <c r="D76" s="855">
        <f>'BM8r'!D82</f>
        <v>91</v>
      </c>
      <c r="E76" s="855" t="str">
        <f>'BM8r'!E82</f>
        <v>&gt;90</v>
      </c>
      <c r="F76" s="855" t="str">
        <f>'BM8r'!F82</f>
        <v>&gt;90</v>
      </c>
      <c r="G76" s="855" t="str">
        <f>'BM8r'!G82</f>
        <v>&gt;90</v>
      </c>
      <c r="H76" s="855" t="str">
        <f>'BM8r'!H82</f>
        <v>&gt;90</v>
      </c>
      <c r="I76" s="855" t="str">
        <f>'BM8r'!I82</f>
        <v>&gt;90</v>
      </c>
      <c r="J76" s="1006" t="str">
        <f>'BM8r'!J82</f>
        <v>&gt;90</v>
      </c>
      <c r="K76" s="855">
        <f>'BM8r'!K82</f>
        <v>0</v>
      </c>
      <c r="L76" s="855">
        <f>'BM8r'!L82</f>
        <v>0</v>
      </c>
      <c r="M76" s="1098"/>
    </row>
    <row r="77" spans="1:13" ht="16.5">
      <c r="A77" s="561"/>
      <c r="B77" s="567" t="s">
        <v>433</v>
      </c>
      <c r="C77" s="561" t="s">
        <v>6</v>
      </c>
      <c r="D77" s="724">
        <f>'BM8r'!D80</f>
        <v>21</v>
      </c>
      <c r="E77" s="724">
        <f>'BM8r'!E80</f>
        <v>20.8</v>
      </c>
      <c r="F77" s="724">
        <f>'BM8r'!F80</f>
        <v>20.3</v>
      </c>
      <c r="G77" s="724">
        <f>'BM8r'!G80</f>
        <v>19.5</v>
      </c>
      <c r="H77" s="724">
        <f>'BM8r'!H80</f>
        <v>19</v>
      </c>
      <c r="I77" s="724">
        <f>'BM8r'!I80</f>
        <v>18</v>
      </c>
      <c r="J77" s="1010">
        <f>'BM8r'!J80</f>
        <v>18</v>
      </c>
      <c r="K77" s="568"/>
      <c r="L77" s="568"/>
      <c r="M77" s="1091"/>
    </row>
    <row r="78" spans="1:13" ht="16.5">
      <c r="A78" s="561"/>
      <c r="B78" s="969" t="s">
        <v>972</v>
      </c>
      <c r="C78" s="561" t="s">
        <v>425</v>
      </c>
      <c r="D78" s="724">
        <f>'BM8r'!D81</f>
        <v>25</v>
      </c>
      <c r="E78" s="724">
        <f>'BM8r'!E81</f>
        <v>33.3</v>
      </c>
      <c r="F78" s="724">
        <f>'BM8r'!F81</f>
        <v>41.6</v>
      </c>
      <c r="G78" s="724">
        <f>'BM8r'!G81</f>
        <v>58.3</v>
      </c>
      <c r="H78" s="724">
        <f>'BM8r'!H81</f>
        <v>66</v>
      </c>
      <c r="I78" s="724">
        <f>'BM8r'!I81</f>
        <v>75</v>
      </c>
      <c r="J78" s="1010">
        <f>I78</f>
        <v>75</v>
      </c>
      <c r="K78" s="571"/>
      <c r="L78" s="571"/>
      <c r="M78" s="1092"/>
    </row>
    <row r="79" spans="1:13" ht="16.5">
      <c r="A79" s="561"/>
      <c r="B79" s="567" t="s">
        <v>434</v>
      </c>
      <c r="C79" s="561" t="s">
        <v>6</v>
      </c>
      <c r="D79" s="724">
        <f>'BM8r'!D84</f>
        <v>71.2</v>
      </c>
      <c r="E79" s="724">
        <f>'BM8r'!E84</f>
        <v>72</v>
      </c>
      <c r="F79" s="724">
        <f>'BM8r'!F84</f>
        <v>73.8</v>
      </c>
      <c r="G79" s="724">
        <f>'BM8r'!G84</f>
        <v>75</v>
      </c>
      <c r="H79" s="724">
        <f>'BM8r'!H84</f>
        <v>77</v>
      </c>
      <c r="I79" s="724">
        <f>'BM8r'!I84</f>
        <v>80</v>
      </c>
      <c r="J79" s="1010">
        <f>'BM8r'!J84</f>
        <v>80</v>
      </c>
      <c r="K79" s="568"/>
      <c r="L79" s="568"/>
      <c r="M79" s="1091"/>
    </row>
    <row r="80" spans="1:16" s="564" customFormat="1" ht="16.5">
      <c r="A80" s="562">
        <v>4</v>
      </c>
      <c r="B80" s="563" t="s">
        <v>435</v>
      </c>
      <c r="C80" s="562"/>
      <c r="D80" s="562"/>
      <c r="E80" s="562"/>
      <c r="F80" s="562"/>
      <c r="G80" s="562"/>
      <c r="H80" s="562"/>
      <c r="I80" s="562"/>
      <c r="J80" s="1009"/>
      <c r="K80" s="566"/>
      <c r="L80" s="566"/>
      <c r="M80" s="1090"/>
      <c r="P80" s="565"/>
    </row>
    <row r="81" spans="1:13" s="572" customFormat="1" ht="33">
      <c r="A81" s="569"/>
      <c r="B81" s="927" t="s">
        <v>925</v>
      </c>
      <c r="C81" s="970" t="s">
        <v>677</v>
      </c>
      <c r="D81" s="855">
        <f>'BM8r'!D48</f>
        <v>39.175</v>
      </c>
      <c r="E81" s="855">
        <f>'BM8r'!E48</f>
        <v>39.21</v>
      </c>
      <c r="F81" s="855">
        <f>'BM8r'!F48</f>
        <v>40.356</v>
      </c>
      <c r="G81" s="855">
        <f>'BM8r'!G48</f>
        <v>41.562</v>
      </c>
      <c r="H81" s="855">
        <f>'BM8r'!H48</f>
        <v>42.712</v>
      </c>
      <c r="I81" s="855">
        <f>'BM8r'!I48</f>
        <v>43.813</v>
      </c>
      <c r="J81" s="1006">
        <f>I81</f>
        <v>43.813</v>
      </c>
      <c r="K81" s="571"/>
      <c r="L81" s="571"/>
      <c r="M81" s="1092"/>
    </row>
    <row r="82" spans="1:13" ht="16.5">
      <c r="A82" s="561"/>
      <c r="B82" s="666" t="s">
        <v>663</v>
      </c>
      <c r="C82" s="605" t="s">
        <v>662</v>
      </c>
      <c r="D82" s="724">
        <f>'BM8r'!D50</f>
        <v>1.518</v>
      </c>
      <c r="E82" s="724">
        <f>'BM8r'!E50</f>
        <v>1.046</v>
      </c>
      <c r="F82" s="724">
        <f>'BM8r'!F50</f>
        <v>0.951</v>
      </c>
      <c r="G82" s="724">
        <f>'BM8r'!G50</f>
        <v>0.889</v>
      </c>
      <c r="H82" s="724">
        <f>'BM8r'!H50</f>
        <v>0.81</v>
      </c>
      <c r="I82" s="724">
        <f>'BM8r'!I50</f>
        <v>0.711</v>
      </c>
      <c r="J82" s="1010">
        <f>'BM8r'!J50</f>
        <v>0.711</v>
      </c>
      <c r="K82" s="568"/>
      <c r="L82" s="568"/>
      <c r="M82" s="1091"/>
    </row>
    <row r="83" spans="1:13" s="572" customFormat="1" ht="16.5">
      <c r="A83" s="569"/>
      <c r="B83" s="662" t="s">
        <v>655</v>
      </c>
      <c r="C83" s="663" t="s">
        <v>656</v>
      </c>
      <c r="D83" s="855">
        <f>'BM8r'!D51</f>
        <v>445</v>
      </c>
      <c r="E83" s="855">
        <f>'BM8r'!E51</f>
        <v>454</v>
      </c>
      <c r="F83" s="855">
        <f>'BM8r'!F51</f>
        <v>504</v>
      </c>
      <c r="G83" s="855">
        <f>'BM8r'!G51</f>
        <v>554</v>
      </c>
      <c r="H83" s="855">
        <f>'BM8r'!H51</f>
        <v>605</v>
      </c>
      <c r="I83" s="855">
        <f>'BM8r'!I51</f>
        <v>655</v>
      </c>
      <c r="J83" s="1006">
        <f>E83+F83+G83+H83+I83</f>
        <v>2772</v>
      </c>
      <c r="K83" s="571"/>
      <c r="L83" s="571"/>
      <c r="M83" s="1092"/>
    </row>
    <row r="84" spans="1:13" s="572" customFormat="1" ht="32.25" customHeight="1" hidden="1">
      <c r="A84" s="569"/>
      <c r="B84" s="662" t="s">
        <v>657</v>
      </c>
      <c r="C84" s="663" t="s">
        <v>656</v>
      </c>
      <c r="D84" s="855">
        <f>'BM8r'!D52</f>
        <v>0</v>
      </c>
      <c r="E84" s="569"/>
      <c r="F84" s="569"/>
      <c r="G84" s="569"/>
      <c r="H84" s="569"/>
      <c r="I84" s="569"/>
      <c r="J84" s="1002"/>
      <c r="K84" s="571"/>
      <c r="L84" s="571"/>
      <c r="M84" s="1092"/>
    </row>
    <row r="85" spans="1:13" s="572" customFormat="1" ht="26.25" customHeight="1">
      <c r="A85" s="569"/>
      <c r="B85" s="662" t="s">
        <v>658</v>
      </c>
      <c r="C85" s="663" t="s">
        <v>654</v>
      </c>
      <c r="D85" s="855">
        <f>'BM8r'!D54</f>
        <v>2209</v>
      </c>
      <c r="E85" s="855">
        <f>'BM8r'!E54</f>
        <v>2065</v>
      </c>
      <c r="F85" s="855">
        <f>'BM8r'!F54</f>
        <v>2251</v>
      </c>
      <c r="G85" s="855">
        <f>'BM8r'!G54</f>
        <v>2448</v>
      </c>
      <c r="H85" s="855">
        <f>'BM8r'!H54</f>
        <v>2650</v>
      </c>
      <c r="I85" s="855">
        <f>'BM8r'!I54</f>
        <v>2888</v>
      </c>
      <c r="J85" s="1006">
        <f>E85+F85+G85+H85+I85</f>
        <v>12302</v>
      </c>
      <c r="K85" s="571"/>
      <c r="L85" s="571"/>
      <c r="M85" s="1092"/>
    </row>
    <row r="86" spans="1:13" s="572" customFormat="1" ht="26.25" customHeight="1" hidden="1">
      <c r="A86" s="569"/>
      <c r="B86" s="393" t="s">
        <v>690</v>
      </c>
      <c r="C86" s="388" t="s">
        <v>213</v>
      </c>
      <c r="D86" s="569"/>
      <c r="E86" s="569"/>
      <c r="F86" s="569"/>
      <c r="G86" s="569"/>
      <c r="H86" s="569"/>
      <c r="I86" s="569"/>
      <c r="J86" s="1002"/>
      <c r="K86" s="571"/>
      <c r="L86" s="571"/>
      <c r="M86" s="1092"/>
    </row>
    <row r="87" spans="1:13" s="572" customFormat="1" ht="26.25" customHeight="1" hidden="1">
      <c r="A87" s="569"/>
      <c r="B87" s="393" t="s">
        <v>691</v>
      </c>
      <c r="C87" s="388"/>
      <c r="D87" s="569"/>
      <c r="E87" s="569"/>
      <c r="F87" s="569"/>
      <c r="G87" s="569"/>
      <c r="H87" s="569"/>
      <c r="I87" s="569"/>
      <c r="J87" s="1002"/>
      <c r="K87" s="571"/>
      <c r="L87" s="571"/>
      <c r="M87" s="1092"/>
    </row>
    <row r="88" spans="1:13" s="572" customFormat="1" ht="26.25" customHeight="1" hidden="1">
      <c r="A88" s="569"/>
      <c r="B88" s="393" t="s">
        <v>692</v>
      </c>
      <c r="C88" s="388"/>
      <c r="D88" s="569"/>
      <c r="E88" s="569"/>
      <c r="F88" s="569"/>
      <c r="G88" s="569"/>
      <c r="H88" s="569"/>
      <c r="I88" s="569"/>
      <c r="J88" s="1002"/>
      <c r="K88" s="571"/>
      <c r="L88" s="571"/>
      <c r="M88" s="1092"/>
    </row>
    <row r="89" spans="1:13" s="572" customFormat="1" ht="26.25" customHeight="1" hidden="1">
      <c r="A89" s="569"/>
      <c r="B89" s="393" t="s">
        <v>693</v>
      </c>
      <c r="C89" s="388" t="s">
        <v>213</v>
      </c>
      <c r="D89" s="569"/>
      <c r="E89" s="569"/>
      <c r="F89" s="569"/>
      <c r="G89" s="569"/>
      <c r="H89" s="569"/>
      <c r="I89" s="569"/>
      <c r="J89" s="1002"/>
      <c r="K89" s="571"/>
      <c r="L89" s="571"/>
      <c r="M89" s="1092"/>
    </row>
    <row r="90" spans="1:13" s="564" customFormat="1" ht="16.5">
      <c r="A90" s="562">
        <v>5</v>
      </c>
      <c r="B90" s="563" t="s">
        <v>436</v>
      </c>
      <c r="C90" s="562"/>
      <c r="D90" s="562"/>
      <c r="E90" s="562"/>
      <c r="F90" s="562"/>
      <c r="G90" s="562"/>
      <c r="H90" s="562"/>
      <c r="I90" s="562"/>
      <c r="J90" s="1009"/>
      <c r="K90" s="566"/>
      <c r="L90" s="566"/>
      <c r="M90" s="1090"/>
    </row>
    <row r="91" spans="1:13" ht="16.5">
      <c r="A91" s="561"/>
      <c r="B91" s="567" t="s">
        <v>437</v>
      </c>
      <c r="C91" s="561" t="s">
        <v>6</v>
      </c>
      <c r="D91" s="561">
        <v>100</v>
      </c>
      <c r="E91" s="561">
        <v>100</v>
      </c>
      <c r="F91" s="561">
        <v>100</v>
      </c>
      <c r="G91" s="561">
        <v>100</v>
      </c>
      <c r="H91" s="561">
        <v>100</v>
      </c>
      <c r="I91" s="561">
        <v>100</v>
      </c>
      <c r="J91" s="1001">
        <v>100</v>
      </c>
      <c r="K91" s="568"/>
      <c r="L91" s="568"/>
      <c r="M91" s="1091"/>
    </row>
    <row r="92" spans="1:13" ht="16.5">
      <c r="A92" s="561"/>
      <c r="B92" s="567" t="s">
        <v>438</v>
      </c>
      <c r="C92" s="561" t="s">
        <v>6</v>
      </c>
      <c r="D92" s="724">
        <f>'BM8r'!D63</f>
        <v>82</v>
      </c>
      <c r="E92" s="724">
        <f>'BM8r'!E63</f>
        <v>85</v>
      </c>
      <c r="F92" s="724">
        <f>'BM8r'!F63</f>
        <v>85</v>
      </c>
      <c r="G92" s="724">
        <f>'BM8r'!G63</f>
        <v>85</v>
      </c>
      <c r="H92" s="724">
        <f>'BM8r'!H63</f>
        <v>85</v>
      </c>
      <c r="I92" s="724">
        <f>'BM8r'!I63</f>
        <v>85</v>
      </c>
      <c r="J92" s="1010">
        <f>'BM8r'!J63</f>
        <v>85</v>
      </c>
      <c r="K92" s="568"/>
      <c r="L92" s="568"/>
      <c r="M92" s="1091"/>
    </row>
    <row r="93" spans="1:13" ht="16.5">
      <c r="A93" s="561"/>
      <c r="B93" s="567" t="s">
        <v>439</v>
      </c>
      <c r="C93" s="561" t="s">
        <v>6</v>
      </c>
      <c r="D93" s="724">
        <f>'BM8r'!D64</f>
        <v>82</v>
      </c>
      <c r="E93" s="724">
        <f>'BM8r'!E64</f>
        <v>75</v>
      </c>
      <c r="F93" s="724">
        <f>'BM8r'!F64</f>
        <v>75</v>
      </c>
      <c r="G93" s="724">
        <f>'BM8r'!G64</f>
        <v>75</v>
      </c>
      <c r="H93" s="724">
        <f>'BM8r'!H64</f>
        <v>75</v>
      </c>
      <c r="I93" s="724">
        <f>'BM8r'!I64</f>
        <v>75</v>
      </c>
      <c r="J93" s="1010">
        <f>'BM8r'!J64</f>
        <v>75</v>
      </c>
      <c r="K93" s="568"/>
      <c r="L93" s="568"/>
      <c r="M93" s="1091"/>
    </row>
    <row r="94" spans="1:13" ht="16.5">
      <c r="A94" s="561"/>
      <c r="B94" s="567" t="s">
        <v>440</v>
      </c>
      <c r="C94" s="561" t="s">
        <v>6</v>
      </c>
      <c r="D94" s="724">
        <f>'BM8r'!D65</f>
        <v>16.7</v>
      </c>
      <c r="E94" s="724">
        <f>'BM8r'!E65</f>
        <v>16.666666666666664</v>
      </c>
      <c r="F94" s="724">
        <f>'BM8r'!F65</f>
        <v>25</v>
      </c>
      <c r="G94" s="724">
        <f>'BM8r'!G65</f>
        <v>25</v>
      </c>
      <c r="H94" s="724">
        <f>'BM8r'!H65</f>
        <v>33.33333333333333</v>
      </c>
      <c r="I94" s="724">
        <f>'BM8r'!I65</f>
        <v>33.33333333333333</v>
      </c>
      <c r="J94" s="1010">
        <f>I94</f>
        <v>33.33333333333333</v>
      </c>
      <c r="K94" s="724">
        <f>'BM8r'!K65</f>
        <v>0</v>
      </c>
      <c r="L94" s="568"/>
      <c r="M94" s="1091"/>
    </row>
    <row r="95" spans="1:13" ht="16.5">
      <c r="A95" s="561"/>
      <c r="B95" s="567" t="s">
        <v>441</v>
      </c>
      <c r="C95" s="561" t="s">
        <v>6</v>
      </c>
      <c r="D95" s="724">
        <f>'BM8r'!D66</f>
        <v>82</v>
      </c>
      <c r="E95" s="724">
        <f>'BM8r'!E66</f>
        <v>85</v>
      </c>
      <c r="F95" s="724">
        <f>'BM8r'!F66</f>
        <v>85</v>
      </c>
      <c r="G95" s="724">
        <f>'BM8r'!G66</f>
        <v>85</v>
      </c>
      <c r="H95" s="724">
        <f>'BM8r'!H66</f>
        <v>85</v>
      </c>
      <c r="I95" s="724">
        <f>'BM8r'!I66</f>
        <v>85</v>
      </c>
      <c r="J95" s="1001">
        <f>SUM(E95:I95)/5</f>
        <v>85</v>
      </c>
      <c r="K95" s="568"/>
      <c r="L95" s="568"/>
      <c r="M95" s="1091"/>
    </row>
    <row r="96" spans="1:13" s="572" customFormat="1" ht="16.5">
      <c r="A96" s="569"/>
      <c r="B96" s="570" t="s">
        <v>442</v>
      </c>
      <c r="C96" s="569" t="s">
        <v>6</v>
      </c>
      <c r="D96" s="863">
        <f aca="true" t="shared" si="8" ref="D96:I96">20/22*100</f>
        <v>90.9090909090909</v>
      </c>
      <c r="E96" s="863">
        <f t="shared" si="8"/>
        <v>90.9090909090909</v>
      </c>
      <c r="F96" s="863">
        <f t="shared" si="8"/>
        <v>90.9090909090909</v>
      </c>
      <c r="G96" s="863">
        <f t="shared" si="8"/>
        <v>90.9090909090909</v>
      </c>
      <c r="H96" s="863">
        <f t="shared" si="8"/>
        <v>90.9090909090909</v>
      </c>
      <c r="I96" s="863">
        <f t="shared" si="8"/>
        <v>90.9090909090909</v>
      </c>
      <c r="J96" s="1001">
        <f>SUM(E96:I96)/5</f>
        <v>90.9090909090909</v>
      </c>
      <c r="K96" s="571"/>
      <c r="L96" s="571"/>
      <c r="M96" s="1092"/>
    </row>
    <row r="97" spans="1:13" ht="16.5">
      <c r="A97" s="561"/>
      <c r="B97" s="567" t="s">
        <v>443</v>
      </c>
      <c r="C97" s="561" t="s">
        <v>6</v>
      </c>
      <c r="D97" s="724">
        <f>'[5]BM1 (2)'!$K$95</f>
        <v>100</v>
      </c>
      <c r="E97" s="561">
        <v>100</v>
      </c>
      <c r="F97" s="561">
        <v>100</v>
      </c>
      <c r="G97" s="561">
        <v>100</v>
      </c>
      <c r="H97" s="561">
        <v>100</v>
      </c>
      <c r="I97" s="561">
        <v>100</v>
      </c>
      <c r="J97" s="1001">
        <f>SUM(E97:I97)/5</f>
        <v>100</v>
      </c>
      <c r="K97" s="568"/>
      <c r="L97" s="568"/>
      <c r="M97" s="1091"/>
    </row>
    <row r="98" spans="1:13" ht="16.5">
      <c r="A98" s="561"/>
      <c r="B98" s="567" t="s">
        <v>462</v>
      </c>
      <c r="C98" s="561" t="s">
        <v>463</v>
      </c>
      <c r="D98" s="561">
        <f>'BM5 '!D21</f>
        <v>93</v>
      </c>
      <c r="E98" s="561">
        <f>'BM5 '!E21</f>
        <v>94</v>
      </c>
      <c r="F98" s="561">
        <f>'BM5 '!F21</f>
        <v>95</v>
      </c>
      <c r="G98" s="561">
        <f>'BM5 '!G21</f>
        <v>96</v>
      </c>
      <c r="H98" s="561">
        <f>'BM5 '!H21</f>
        <v>97</v>
      </c>
      <c r="I98" s="561">
        <f>'BM5 '!I21</f>
        <v>98</v>
      </c>
      <c r="J98" s="998">
        <f>I98</f>
        <v>98</v>
      </c>
      <c r="K98" s="568"/>
      <c r="L98" s="568"/>
      <c r="M98" s="1091"/>
    </row>
    <row r="99" spans="1:13" ht="16.5">
      <c r="A99" s="561"/>
      <c r="B99" s="567" t="s">
        <v>464</v>
      </c>
      <c r="C99" s="561" t="s">
        <v>463</v>
      </c>
      <c r="D99" s="561">
        <f>'BM5 '!D22</f>
        <v>18.25</v>
      </c>
      <c r="E99" s="561">
        <f>'BM5 '!E22</f>
        <v>14.34</v>
      </c>
      <c r="F99" s="561">
        <f>'BM5 '!F22</f>
        <v>15.35</v>
      </c>
      <c r="G99" s="561">
        <f>'BM5 '!G22</f>
        <v>15.35</v>
      </c>
      <c r="H99" s="561">
        <f>'BM5 '!H22</f>
        <v>20.7</v>
      </c>
      <c r="I99" s="561">
        <f>'BM5 '!I22</f>
        <v>25.4</v>
      </c>
      <c r="J99" s="998">
        <f>I99</f>
        <v>25.4</v>
      </c>
      <c r="K99" s="568"/>
      <c r="L99" s="568"/>
      <c r="M99" s="1091"/>
    </row>
    <row r="100" spans="1:16" s="564" customFormat="1" ht="16.5">
      <c r="A100" s="562">
        <v>6</v>
      </c>
      <c r="B100" s="563" t="s">
        <v>444</v>
      </c>
      <c r="C100" s="562"/>
      <c r="D100" s="562"/>
      <c r="E100" s="562"/>
      <c r="F100" s="562"/>
      <c r="G100" s="562"/>
      <c r="H100" s="562"/>
      <c r="I100" s="562"/>
      <c r="J100" s="1009"/>
      <c r="K100" s="566"/>
      <c r="L100" s="566"/>
      <c r="M100" s="1090"/>
      <c r="P100" s="565"/>
    </row>
    <row r="101" spans="1:13" s="572" customFormat="1" ht="16.5">
      <c r="A101" s="569"/>
      <c r="B101" s="570" t="s">
        <v>954</v>
      </c>
      <c r="C101" s="569" t="s">
        <v>6</v>
      </c>
      <c r="D101" s="866">
        <f>'BM8r'!D10/'BM8r'!D8*100</f>
        <v>10.51692344298376</v>
      </c>
      <c r="E101" s="866">
        <f>'BM8r'!E10/'BM8r'!E8*100</f>
        <v>8.674029954316776</v>
      </c>
      <c r="F101" s="866">
        <f>'BM8r'!F10/'BM8r'!F8*100</f>
        <v>7.443032176800641</v>
      </c>
      <c r="G101" s="866">
        <f>'BM8r'!G10/'BM8r'!G8*100</f>
        <v>6.51890482398957</v>
      </c>
      <c r="H101" s="866">
        <f>'BM8r'!H10/'BM8r'!H8*100</f>
        <v>5.893248021552449</v>
      </c>
      <c r="I101" s="866">
        <f>'BM8r'!I10/'BM8r'!I8*100</f>
        <v>5.278950877972883</v>
      </c>
      <c r="J101" s="1012">
        <f>I101</f>
        <v>5.278950877972883</v>
      </c>
      <c r="K101" s="570"/>
      <c r="L101" s="570"/>
      <c r="M101" s="1099"/>
    </row>
    <row r="102" spans="1:13" s="1072" customFormat="1" ht="16.5">
      <c r="A102" s="1068"/>
      <c r="B102" s="1067" t="s">
        <v>955</v>
      </c>
      <c r="C102" s="1068" t="s">
        <v>6</v>
      </c>
      <c r="D102" s="1069">
        <f>'BM8r'!D15</f>
        <v>20.258899676375407</v>
      </c>
      <c r="E102" s="1069">
        <f>'BM8r'!E15</f>
        <v>17.78196669808357</v>
      </c>
      <c r="F102" s="1069">
        <f>'BM8r'!F15</f>
        <v>15.738904987036756</v>
      </c>
      <c r="G102" s="1069">
        <f>'BM8r'!G15</f>
        <v>13.801273508070489</v>
      </c>
      <c r="H102" s="1069">
        <f>'BM8r'!H15</f>
        <v>12.248418631397355</v>
      </c>
      <c r="I102" s="1069">
        <f>'BM8r'!I15</f>
        <v>10.774598743893929</v>
      </c>
      <c r="J102" s="1070">
        <f>I102</f>
        <v>10.774598743893929</v>
      </c>
      <c r="K102" s="1071"/>
      <c r="L102" s="1071"/>
      <c r="M102" s="1100"/>
    </row>
    <row r="103" spans="1:16" s="564" customFormat="1" ht="16.5">
      <c r="A103" s="562">
        <v>7</v>
      </c>
      <c r="B103" s="563" t="s">
        <v>445</v>
      </c>
      <c r="C103" s="562"/>
      <c r="D103" s="562"/>
      <c r="E103" s="562"/>
      <c r="F103" s="562"/>
      <c r="G103" s="562"/>
      <c r="H103" s="562"/>
      <c r="I103" s="562"/>
      <c r="J103" s="999"/>
      <c r="K103" s="563"/>
      <c r="L103" s="563"/>
      <c r="M103" s="1089"/>
      <c r="P103" s="565"/>
    </row>
    <row r="104" spans="1:13" ht="16.5">
      <c r="A104" s="561"/>
      <c r="B104" s="567" t="s">
        <v>446</v>
      </c>
      <c r="C104" s="561" t="s">
        <v>6</v>
      </c>
      <c r="D104" s="725">
        <f>'[5]BM1 (2)'!$K$102</f>
        <v>98</v>
      </c>
      <c r="E104" s="995">
        <f>'BM3r '!D34</f>
        <v>98.5</v>
      </c>
      <c r="F104" s="995">
        <f>'BM3r '!E34</f>
        <v>99</v>
      </c>
      <c r="G104" s="995">
        <f>'BM3r '!F34</f>
        <v>99</v>
      </c>
      <c r="H104" s="995">
        <f>'BM3r '!G34</f>
        <v>99</v>
      </c>
      <c r="I104" s="995">
        <f>'BM3r '!H34</f>
        <v>99</v>
      </c>
      <c r="J104" s="1003">
        <f>'BM3r '!I34</f>
        <v>99</v>
      </c>
      <c r="K104" s="567"/>
      <c r="L104" s="567"/>
      <c r="M104" s="1101"/>
    </row>
    <row r="105" spans="1:13" ht="16.5">
      <c r="A105" s="561"/>
      <c r="B105" s="567" t="s">
        <v>447</v>
      </c>
      <c r="C105" s="561" t="s">
        <v>6</v>
      </c>
      <c r="D105" s="561">
        <v>100</v>
      </c>
      <c r="E105" s="561">
        <v>100</v>
      </c>
      <c r="F105" s="561">
        <v>100</v>
      </c>
      <c r="G105" s="561">
        <v>100</v>
      </c>
      <c r="H105" s="561">
        <v>100</v>
      </c>
      <c r="I105" s="561">
        <v>100</v>
      </c>
      <c r="J105" s="998">
        <v>100</v>
      </c>
      <c r="K105" s="567"/>
      <c r="L105" s="567"/>
      <c r="M105" s="1101"/>
    </row>
    <row r="106" spans="1:13" s="583" customFormat="1" ht="16.5">
      <c r="A106" s="580">
        <v>8</v>
      </c>
      <c r="B106" s="581" t="s">
        <v>448</v>
      </c>
      <c r="C106" s="580"/>
      <c r="D106" s="580"/>
      <c r="E106" s="580"/>
      <c r="F106" s="580"/>
      <c r="G106" s="580"/>
      <c r="H106" s="580"/>
      <c r="I106" s="580"/>
      <c r="J106" s="1016"/>
      <c r="K106" s="581"/>
      <c r="L106" s="581"/>
      <c r="M106" s="1102"/>
    </row>
    <row r="107" spans="1:13" s="572" customFormat="1" ht="16.5">
      <c r="A107" s="569"/>
      <c r="B107" s="570" t="s">
        <v>957</v>
      </c>
      <c r="C107" s="569" t="s">
        <v>6</v>
      </c>
      <c r="D107" s="870">
        <f>'BM8r'!D27</f>
        <v>90.00059484861103</v>
      </c>
      <c r="E107" s="870">
        <f>'BM8r'!E27</f>
        <v>91.03683571387266</v>
      </c>
      <c r="F107" s="870">
        <f>'BM8r'!F27</f>
        <v>92.17909080499255</v>
      </c>
      <c r="G107" s="870">
        <f>'BM8r'!G27</f>
        <v>92.96525140298169</v>
      </c>
      <c r="H107" s="870">
        <f>'BM8r'!H27</f>
        <v>93.73070662850087</v>
      </c>
      <c r="I107" s="870">
        <f>'BM8r'!I27</f>
        <v>94.02089353189598</v>
      </c>
      <c r="J107" s="1017">
        <f>'BM8r'!J27</f>
        <v>92.78655561644875</v>
      </c>
      <c r="K107" s="570"/>
      <c r="L107" s="570"/>
      <c r="M107" s="1099"/>
    </row>
    <row r="108" spans="1:13" s="719" customFormat="1" ht="16.5" hidden="1">
      <c r="A108" s="717"/>
      <c r="B108" s="718" t="s">
        <v>473</v>
      </c>
      <c r="C108" s="717" t="s">
        <v>6</v>
      </c>
      <c r="D108" s="717"/>
      <c r="E108" s="717"/>
      <c r="F108" s="717"/>
      <c r="G108" s="717"/>
      <c r="H108" s="717"/>
      <c r="I108" s="717"/>
      <c r="J108" s="1018"/>
      <c r="K108" s="718"/>
      <c r="L108" s="718"/>
      <c r="M108" s="1103"/>
    </row>
    <row r="109" spans="1:16" s="564" customFormat="1" ht="16.5">
      <c r="A109" s="562">
        <v>9</v>
      </c>
      <c r="B109" s="563" t="s">
        <v>449</v>
      </c>
      <c r="C109" s="562"/>
      <c r="D109" s="562"/>
      <c r="E109" s="562"/>
      <c r="F109" s="562"/>
      <c r="G109" s="562"/>
      <c r="H109" s="562"/>
      <c r="I109" s="562"/>
      <c r="J109" s="999"/>
      <c r="K109" s="563"/>
      <c r="L109" s="563"/>
      <c r="M109" s="1089"/>
      <c r="P109" s="565"/>
    </row>
    <row r="110" spans="1:16" ht="16.5">
      <c r="A110" s="561"/>
      <c r="B110" s="567" t="s">
        <v>450</v>
      </c>
      <c r="C110" s="561" t="s">
        <v>6</v>
      </c>
      <c r="D110" s="561">
        <f>'[5]BM1 (2)'!$K$108</f>
        <v>91</v>
      </c>
      <c r="E110" s="561">
        <v>95</v>
      </c>
      <c r="F110" s="561">
        <v>95</v>
      </c>
      <c r="G110" s="561">
        <v>95</v>
      </c>
      <c r="H110" s="561">
        <v>95</v>
      </c>
      <c r="I110" s="561">
        <v>95</v>
      </c>
      <c r="J110" s="998">
        <v>95</v>
      </c>
      <c r="K110" s="567"/>
      <c r="L110" s="567"/>
      <c r="M110" s="1101"/>
      <c r="P110" s="588"/>
    </row>
    <row r="111" spans="1:16" ht="16.5" hidden="1">
      <c r="A111" s="561"/>
      <c r="B111" s="567" t="s">
        <v>474</v>
      </c>
      <c r="C111" s="561" t="s">
        <v>6</v>
      </c>
      <c r="D111" s="561"/>
      <c r="E111" s="561"/>
      <c r="F111" s="561"/>
      <c r="G111" s="561"/>
      <c r="H111" s="561"/>
      <c r="I111" s="561"/>
      <c r="J111" s="998"/>
      <c r="K111" s="567"/>
      <c r="L111" s="567"/>
      <c r="M111" s="1101"/>
      <c r="P111" s="588"/>
    </row>
    <row r="112" spans="1:16" ht="16.5" hidden="1">
      <c r="A112" s="561"/>
      <c r="B112" s="593" t="s">
        <v>475</v>
      </c>
      <c r="C112" s="561" t="s">
        <v>6</v>
      </c>
      <c r="D112" s="561"/>
      <c r="E112" s="561"/>
      <c r="F112" s="561"/>
      <c r="G112" s="561"/>
      <c r="H112" s="561"/>
      <c r="I112" s="561"/>
      <c r="J112" s="998"/>
      <c r="K112" s="567"/>
      <c r="L112" s="567"/>
      <c r="M112" s="1101"/>
      <c r="P112" s="588"/>
    </row>
    <row r="113" spans="1:13" s="583" customFormat="1" ht="16.5">
      <c r="A113" s="580">
        <v>10</v>
      </c>
      <c r="B113" s="581" t="s">
        <v>470</v>
      </c>
      <c r="C113" s="580"/>
      <c r="D113" s="580"/>
      <c r="E113" s="580"/>
      <c r="F113" s="580"/>
      <c r="G113" s="580"/>
      <c r="H113" s="580"/>
      <c r="I113" s="580"/>
      <c r="J113" s="1016"/>
      <c r="K113" s="581"/>
      <c r="L113" s="581"/>
      <c r="M113" s="1102"/>
    </row>
    <row r="114" spans="1:16" s="572" customFormat="1" ht="16.5">
      <c r="A114" s="569"/>
      <c r="B114" s="570" t="s">
        <v>451</v>
      </c>
      <c r="C114" s="569" t="s">
        <v>452</v>
      </c>
      <c r="D114" s="569">
        <f>'BM2 a'!C73</f>
        <v>66.642</v>
      </c>
      <c r="E114" s="569">
        <f>'BM2 a'!D73</f>
        <v>70.15</v>
      </c>
      <c r="F114" s="569">
        <f>'BM2 a'!E73</f>
        <v>78.28</v>
      </c>
      <c r="G114" s="569">
        <f>'BM2 a'!F73</f>
        <v>83.5</v>
      </c>
      <c r="H114" s="569">
        <f>'BM2 a'!G73</f>
        <v>86.55</v>
      </c>
      <c r="I114" s="569">
        <f>'BM2 a'!H73</f>
        <v>88</v>
      </c>
      <c r="J114" s="1008">
        <f>'BM2 a'!I73</f>
        <v>81.296</v>
      </c>
      <c r="K114" s="570"/>
      <c r="L114" s="570"/>
      <c r="M114" s="1099"/>
      <c r="P114" s="583"/>
    </row>
    <row r="115" spans="1:16" s="572" customFormat="1" ht="16.5">
      <c r="A115" s="569"/>
      <c r="B115" s="570" t="s">
        <v>453</v>
      </c>
      <c r="C115" s="569" t="s">
        <v>452</v>
      </c>
      <c r="D115" s="569">
        <f>'BM2 a'!C78</f>
        <v>420</v>
      </c>
      <c r="E115" s="569">
        <f>'BM2 a'!D78</f>
        <v>441</v>
      </c>
      <c r="F115" s="569">
        <f>'BM2 a'!E78</f>
        <v>450</v>
      </c>
      <c r="G115" s="569">
        <f>'BM2 a'!F78</f>
        <v>454</v>
      </c>
      <c r="H115" s="569">
        <f>'BM2 a'!G78</f>
        <v>458</v>
      </c>
      <c r="I115" s="569">
        <f>'BM2 a'!H78</f>
        <v>460</v>
      </c>
      <c r="J115" s="1008">
        <f>'BM2 a'!I78</f>
        <v>452.6</v>
      </c>
      <c r="K115" s="570"/>
      <c r="L115" s="570"/>
      <c r="M115" s="1099"/>
      <c r="P115" s="583"/>
    </row>
    <row r="116" spans="1:16" s="572" customFormat="1" ht="16.5" hidden="1">
      <c r="A116" s="569"/>
      <c r="B116" s="570" t="s">
        <v>454</v>
      </c>
      <c r="C116" s="569" t="s">
        <v>455</v>
      </c>
      <c r="D116" s="569"/>
      <c r="E116" s="569"/>
      <c r="F116" s="569"/>
      <c r="G116" s="569"/>
      <c r="H116" s="569"/>
      <c r="I116" s="569"/>
      <c r="J116" s="1019"/>
      <c r="K116" s="570"/>
      <c r="L116" s="570"/>
      <c r="M116" s="1099"/>
      <c r="P116" s="583"/>
    </row>
    <row r="117" spans="1:16" s="583" customFormat="1" ht="16.5">
      <c r="A117" s="580">
        <v>11</v>
      </c>
      <c r="B117" s="581" t="s">
        <v>456</v>
      </c>
      <c r="C117" s="580"/>
      <c r="D117" s="580"/>
      <c r="E117" s="580"/>
      <c r="F117" s="580"/>
      <c r="G117" s="580"/>
      <c r="H117" s="580"/>
      <c r="I117" s="580"/>
      <c r="J117" s="1016"/>
      <c r="K117" s="581"/>
      <c r="L117" s="581"/>
      <c r="M117" s="1102"/>
      <c r="N117" s="572"/>
      <c r="O117" s="572"/>
      <c r="P117" s="572"/>
    </row>
    <row r="118" spans="1:13" s="572" customFormat="1" ht="16.5">
      <c r="A118" s="569"/>
      <c r="B118" s="570" t="s">
        <v>457</v>
      </c>
      <c r="C118" s="569" t="s">
        <v>6</v>
      </c>
      <c r="D118" s="569">
        <f>'BM2 a'!C95</f>
        <v>32.5</v>
      </c>
      <c r="E118" s="569">
        <f>'BM2 a'!D95</f>
        <v>32.7</v>
      </c>
      <c r="F118" s="569">
        <f>'BM2 a'!E95</f>
        <v>34</v>
      </c>
      <c r="G118" s="569">
        <f>'BM2 a'!F95</f>
        <v>34.9</v>
      </c>
      <c r="H118" s="569">
        <f>'BM2 a'!G95</f>
        <v>35.7</v>
      </c>
      <c r="I118" s="569">
        <f>'BM2 a'!H95</f>
        <v>36.6</v>
      </c>
      <c r="J118" s="1019">
        <f>'BM2 a'!I95</f>
        <v>36.6</v>
      </c>
      <c r="K118" s="1039"/>
      <c r="L118" s="1039"/>
      <c r="M118" s="1104"/>
    </row>
    <row r="119" spans="1:16" s="572" customFormat="1" ht="16.5">
      <c r="A119" s="569"/>
      <c r="B119" s="570" t="s">
        <v>458</v>
      </c>
      <c r="C119" s="605" t="s">
        <v>493</v>
      </c>
      <c r="D119" s="867">
        <f>'BM2 a'!C88</f>
        <v>1.02</v>
      </c>
      <c r="E119" s="867">
        <f>'BM2 a'!D88</f>
        <v>0.424</v>
      </c>
      <c r="F119" s="867">
        <f>'BM2 a'!E88</f>
        <v>0.43000000000000005</v>
      </c>
      <c r="G119" s="867">
        <f>'BM2 a'!F88</f>
        <v>0.51</v>
      </c>
      <c r="H119" s="867">
        <f>'BM2 a'!G88</f>
        <v>0.5529999999999999</v>
      </c>
      <c r="I119" s="867">
        <f>'BM2 a'!H88</f>
        <v>0.583</v>
      </c>
      <c r="J119" s="1020">
        <f>'BM2 a'!I88</f>
        <v>2.5</v>
      </c>
      <c r="K119" s="589"/>
      <c r="L119" s="589"/>
      <c r="M119" s="1105"/>
      <c r="N119" s="583"/>
      <c r="O119" s="583"/>
      <c r="P119" s="583"/>
    </row>
    <row r="120" spans="1:16" s="587" customFormat="1" ht="16.5" hidden="1">
      <c r="A120" s="721"/>
      <c r="B120" s="722" t="s">
        <v>459</v>
      </c>
      <c r="C120" s="721" t="s">
        <v>413</v>
      </c>
      <c r="D120" s="721"/>
      <c r="E120" s="721"/>
      <c r="F120" s="721"/>
      <c r="G120" s="721"/>
      <c r="H120" s="721"/>
      <c r="I120" s="721"/>
      <c r="J120" s="1021"/>
      <c r="K120" s="723"/>
      <c r="L120" s="723"/>
      <c r="M120" s="1106"/>
      <c r="N120" s="720"/>
      <c r="O120" s="720"/>
      <c r="P120" s="720"/>
    </row>
    <row r="121" spans="1:16" s="587" customFormat="1" ht="16.5" hidden="1">
      <c r="A121" s="721"/>
      <c r="B121" s="722" t="s">
        <v>460</v>
      </c>
      <c r="C121" s="721" t="s">
        <v>413</v>
      </c>
      <c r="D121" s="721"/>
      <c r="E121" s="721"/>
      <c r="F121" s="721"/>
      <c r="G121" s="721"/>
      <c r="H121" s="721"/>
      <c r="I121" s="721"/>
      <c r="J121" s="1021"/>
      <c r="K121" s="723"/>
      <c r="L121" s="723"/>
      <c r="M121" s="1106"/>
      <c r="N121" s="720"/>
      <c r="O121" s="720"/>
      <c r="P121" s="720"/>
    </row>
    <row r="122" spans="1:16" s="583" customFormat="1" ht="16.5" hidden="1">
      <c r="A122" s="580">
        <v>12</v>
      </c>
      <c r="B122" s="581" t="s">
        <v>465</v>
      </c>
      <c r="C122" s="580"/>
      <c r="D122" s="580"/>
      <c r="E122" s="580"/>
      <c r="F122" s="580"/>
      <c r="G122" s="580"/>
      <c r="H122" s="580"/>
      <c r="I122" s="580"/>
      <c r="J122" s="1022"/>
      <c r="K122" s="592"/>
      <c r="L122" s="592"/>
      <c r="M122" s="1107"/>
      <c r="N122" s="564"/>
      <c r="O122" s="564"/>
      <c r="P122" s="565"/>
    </row>
    <row r="123" spans="1:16" s="572" customFormat="1" ht="16.5" hidden="1">
      <c r="A123" s="569"/>
      <c r="B123" s="570" t="s">
        <v>466</v>
      </c>
      <c r="C123" s="569" t="s">
        <v>469</v>
      </c>
      <c r="D123" s="569"/>
      <c r="E123" s="569"/>
      <c r="F123" s="569"/>
      <c r="G123" s="569"/>
      <c r="H123" s="569"/>
      <c r="I123" s="569"/>
      <c r="J123" s="1011"/>
      <c r="K123" s="589"/>
      <c r="L123" s="589"/>
      <c r="M123" s="1105"/>
      <c r="N123" s="564"/>
      <c r="O123" s="564"/>
      <c r="P123" s="565"/>
    </row>
    <row r="124" spans="1:16" s="572" customFormat="1" ht="16.5" hidden="1">
      <c r="A124" s="569"/>
      <c r="B124" s="570" t="s">
        <v>467</v>
      </c>
      <c r="C124" s="569" t="s">
        <v>469</v>
      </c>
      <c r="D124" s="569"/>
      <c r="E124" s="569"/>
      <c r="F124" s="569"/>
      <c r="G124" s="569"/>
      <c r="H124" s="569"/>
      <c r="I124" s="569"/>
      <c r="J124" s="1011"/>
      <c r="K124" s="589"/>
      <c r="L124" s="589"/>
      <c r="M124" s="1105"/>
      <c r="N124" s="564"/>
      <c r="O124" s="564"/>
      <c r="P124" s="565"/>
    </row>
    <row r="125" spans="1:16" s="572" customFormat="1" ht="16.5" hidden="1">
      <c r="A125" s="569"/>
      <c r="B125" s="570" t="s">
        <v>468</v>
      </c>
      <c r="C125" s="569" t="s">
        <v>469</v>
      </c>
      <c r="D125" s="569"/>
      <c r="E125" s="569"/>
      <c r="F125" s="569"/>
      <c r="G125" s="569"/>
      <c r="H125" s="569"/>
      <c r="I125" s="569"/>
      <c r="J125" s="1011"/>
      <c r="K125" s="589"/>
      <c r="L125" s="589"/>
      <c r="M125" s="1105"/>
      <c r="N125" s="564"/>
      <c r="O125" s="564"/>
      <c r="P125" s="565"/>
    </row>
    <row r="126" spans="1:16" s="583" customFormat="1" ht="16.5">
      <c r="A126" s="580">
        <v>12</v>
      </c>
      <c r="B126" s="581" t="s">
        <v>471</v>
      </c>
      <c r="C126" s="580"/>
      <c r="D126" s="580"/>
      <c r="E126" s="580"/>
      <c r="F126" s="580"/>
      <c r="G126" s="580"/>
      <c r="H126" s="580"/>
      <c r="I126" s="580"/>
      <c r="J126" s="1023"/>
      <c r="K126" s="868"/>
      <c r="L126" s="868"/>
      <c r="M126" s="1108"/>
      <c r="N126" s="572"/>
      <c r="O126" s="572"/>
      <c r="P126" s="572"/>
    </row>
    <row r="127" spans="1:13" s="572" customFormat="1" ht="16.5">
      <c r="A127" s="569"/>
      <c r="B127" s="570" t="s">
        <v>472</v>
      </c>
      <c r="C127" s="569" t="s">
        <v>425</v>
      </c>
      <c r="D127" s="569"/>
      <c r="E127" s="569"/>
      <c r="F127" s="569"/>
      <c r="G127" s="569"/>
      <c r="H127" s="569"/>
      <c r="I127" s="1081">
        <v>1</v>
      </c>
      <c r="J127" s="1082">
        <v>1</v>
      </c>
      <c r="K127" s="869"/>
      <c r="L127" s="869"/>
      <c r="M127" s="590"/>
    </row>
    <row r="128" spans="1:13" s="572" customFormat="1" ht="16.5">
      <c r="A128" s="594"/>
      <c r="B128" s="595" t="s">
        <v>945</v>
      </c>
      <c r="C128" s="594" t="s">
        <v>946</v>
      </c>
      <c r="D128" s="594"/>
      <c r="E128" s="594"/>
      <c r="F128" s="594"/>
      <c r="G128" s="594"/>
      <c r="H128" s="594"/>
      <c r="I128" s="594">
        <v>5</v>
      </c>
      <c r="J128" s="596">
        <v>5</v>
      </c>
      <c r="K128" s="596"/>
      <c r="L128" s="590"/>
      <c r="M128" s="590"/>
    </row>
    <row r="129" spans="1:10" ht="20.25" customHeight="1">
      <c r="A129" s="570"/>
      <c r="B129" s="570" t="s">
        <v>947</v>
      </c>
      <c r="C129" s="569" t="s">
        <v>946</v>
      </c>
      <c r="D129" s="570"/>
      <c r="E129" s="570"/>
      <c r="F129" s="570"/>
      <c r="G129" s="570"/>
      <c r="H129" s="570"/>
      <c r="I129" s="569">
        <v>5</v>
      </c>
      <c r="J129" s="570">
        <v>5</v>
      </c>
    </row>
  </sheetData>
  <sheetProtection/>
  <mergeCells count="3">
    <mergeCell ref="B2:J2"/>
    <mergeCell ref="A3:J3"/>
    <mergeCell ref="A4:J4"/>
  </mergeCells>
  <printOptions horizontalCentered="1"/>
  <pageMargins left="0" right="0" top="0.5905511811023623" bottom="0.5905511811023623" header="0.11811023622047245" footer="0.35433070866141736"/>
  <pageSetup fitToHeight="0" horizontalDpi="600" verticalDpi="600" orientation="landscape" paperSize="9" scale="75" r:id="rId3"/>
  <headerFooter alignWithMargins="0">
    <oddFooter>&amp;R&amp;"Times New Roman,Regular"&amp;12&amp;P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293"/>
  <sheetViews>
    <sheetView zoomScale="84" zoomScaleNormal="84" zoomScalePageLayoutView="0" workbookViewId="0" topLeftCell="A1">
      <pane xSplit="3" ySplit="7" topLeftCell="D28" activePane="bottomRight" state="frozen"/>
      <selection pane="topLeft" activeCell="A4" sqref="A4:P4"/>
      <selection pane="topRight" activeCell="A4" sqref="A4:P4"/>
      <selection pane="bottomLeft" activeCell="A4" sqref="A4:P4"/>
      <selection pane="bottomRight" activeCell="A4" sqref="A4:P4"/>
    </sheetView>
  </sheetViews>
  <sheetFormatPr defaultColWidth="9.140625" defaultRowHeight="12.75"/>
  <cols>
    <col min="1" max="1" width="5.8515625" style="351" customWidth="1"/>
    <col min="2" max="2" width="51.421875" style="347" customWidth="1"/>
    <col min="3" max="3" width="10.140625" style="348" customWidth="1"/>
    <col min="4" max="4" width="16.00390625" style="348" customWidth="1"/>
    <col min="5" max="5" width="15.00390625" style="331" customWidth="1"/>
    <col min="6" max="6" width="15.28125" style="331" customWidth="1"/>
    <col min="7" max="7" width="13.421875" style="331" customWidth="1"/>
    <col min="8" max="8" width="14.57421875" style="331" customWidth="1"/>
    <col min="9" max="9" width="13.00390625" style="331" customWidth="1"/>
    <col min="10" max="10" width="19.8515625" style="331" customWidth="1"/>
    <col min="11" max="11" width="6.421875" style="331" customWidth="1"/>
    <col min="12" max="15" width="9.140625" style="331" hidden="1" customWidth="1"/>
    <col min="16" max="16" width="10.8515625" style="331" hidden="1" customWidth="1"/>
    <col min="17" max="17" width="20.28125" style="331" customWidth="1"/>
    <col min="18" max="21" width="14.00390625" style="331" customWidth="1"/>
    <col min="22" max="16384" width="9.140625" style="331" customWidth="1"/>
  </cols>
  <sheetData>
    <row r="1" spans="1:10" ht="27.75" customHeight="1">
      <c r="A1" s="331"/>
      <c r="I1" s="371" t="s">
        <v>702</v>
      </c>
      <c r="J1" s="838" t="s">
        <v>704</v>
      </c>
    </row>
    <row r="2" spans="1:10" ht="27.75" customHeight="1">
      <c r="A2" s="331"/>
      <c r="B2" s="1764" t="s">
        <v>476</v>
      </c>
      <c r="C2" s="1764"/>
      <c r="D2" s="1764"/>
      <c r="E2" s="1764"/>
      <c r="F2" s="1764"/>
      <c r="G2" s="1764"/>
      <c r="H2" s="1764"/>
      <c r="I2" s="1764"/>
      <c r="J2" s="1764"/>
    </row>
    <row r="3" spans="1:10" ht="27.75" customHeight="1">
      <c r="A3" s="1765" t="s">
        <v>330</v>
      </c>
      <c r="B3" s="1765"/>
      <c r="C3" s="1765"/>
      <c r="D3" s="1765"/>
      <c r="E3" s="1765"/>
      <c r="F3" s="1765"/>
      <c r="G3" s="1765"/>
      <c r="H3" s="1765"/>
      <c r="I3" s="1765"/>
      <c r="J3" s="1765"/>
    </row>
    <row r="4" spans="1:10" ht="27.75" customHeight="1">
      <c r="A4" s="1800" t="s">
        <v>715</v>
      </c>
      <c r="B4" s="1765"/>
      <c r="C4" s="1765"/>
      <c r="D4" s="1765"/>
      <c r="E4" s="1765"/>
      <c r="F4" s="1765"/>
      <c r="G4" s="1765"/>
      <c r="H4" s="1765"/>
      <c r="I4" s="1765"/>
      <c r="J4" s="1765"/>
    </row>
    <row r="5" spans="1:10" ht="16.5">
      <c r="A5" s="382"/>
      <c r="B5" s="395"/>
      <c r="C5" s="396"/>
      <c r="D5" s="396"/>
      <c r="E5" s="397"/>
      <c r="F5" s="397"/>
      <c r="G5" s="397"/>
      <c r="H5" s="397"/>
      <c r="I5" s="397"/>
      <c r="J5" s="397"/>
    </row>
    <row r="6" spans="1:10" s="349" customFormat="1" ht="49.5">
      <c r="A6" s="406" t="s">
        <v>0</v>
      </c>
      <c r="B6" s="406" t="s">
        <v>211</v>
      </c>
      <c r="C6" s="406" t="s">
        <v>104</v>
      </c>
      <c r="D6" s="383" t="s">
        <v>701</v>
      </c>
      <c r="E6" s="383" t="s">
        <v>695</v>
      </c>
      <c r="F6" s="383" t="s">
        <v>696</v>
      </c>
      <c r="G6" s="383" t="s">
        <v>697</v>
      </c>
      <c r="H6" s="383" t="s">
        <v>698</v>
      </c>
      <c r="I6" s="383" t="s">
        <v>699</v>
      </c>
      <c r="J6" s="383" t="s">
        <v>700</v>
      </c>
    </row>
    <row r="7" spans="1:10" s="349" customFormat="1" ht="32.25" customHeight="1">
      <c r="A7" s="406" t="s">
        <v>29</v>
      </c>
      <c r="B7" s="387" t="s">
        <v>633</v>
      </c>
      <c r="C7" s="387"/>
      <c r="D7" s="383"/>
      <c r="E7" s="383"/>
      <c r="F7" s="383"/>
      <c r="G7" s="383"/>
      <c r="H7" s="383"/>
      <c r="I7" s="383"/>
      <c r="J7" s="383"/>
    </row>
    <row r="8" spans="1:10" s="349" customFormat="1" ht="32.25" customHeight="1">
      <c r="A8" s="406">
        <v>1</v>
      </c>
      <c r="B8" s="392" t="s">
        <v>688</v>
      </c>
      <c r="C8" s="392" t="s">
        <v>635</v>
      </c>
      <c r="D8" s="842">
        <f>'[5]BM8 c'!$K$8</f>
        <v>16811</v>
      </c>
      <c r="E8" s="842">
        <v>17293</v>
      </c>
      <c r="F8" s="842">
        <v>17466</v>
      </c>
      <c r="G8" s="842">
        <v>17641</v>
      </c>
      <c r="H8" s="842">
        <v>17817</v>
      </c>
      <c r="I8" s="842">
        <v>17996</v>
      </c>
      <c r="J8" s="843">
        <f>SUM(E8:I8)/5</f>
        <v>17642.6</v>
      </c>
    </row>
    <row r="9" spans="1:10" s="1078" customFormat="1" ht="32.25" customHeight="1">
      <c r="A9" s="1077"/>
      <c r="B9" s="390" t="s">
        <v>964</v>
      </c>
      <c r="C9" s="392" t="s">
        <v>635</v>
      </c>
      <c r="D9" s="843">
        <f>'[5]BM8 c'!$K$9</f>
        <v>6180</v>
      </c>
      <c r="E9" s="1076">
        <v>6366</v>
      </c>
      <c r="F9" s="1076">
        <v>6557</v>
      </c>
      <c r="G9" s="1076">
        <v>6753</v>
      </c>
      <c r="H9" s="1076">
        <v>6956</v>
      </c>
      <c r="I9" s="1076">
        <v>7165</v>
      </c>
      <c r="J9" s="843">
        <f>SUM(E9:I9)/5</f>
        <v>6759.4</v>
      </c>
    </row>
    <row r="10" spans="1:10" s="349" customFormat="1" ht="32.25" customHeight="1">
      <c r="A10" s="406">
        <v>2</v>
      </c>
      <c r="B10" s="392" t="s">
        <v>634</v>
      </c>
      <c r="C10" s="392" t="s">
        <v>635</v>
      </c>
      <c r="D10" s="843">
        <f>'[5]BM8 c'!$K$10</f>
        <v>1768</v>
      </c>
      <c r="E10" s="843">
        <v>1500</v>
      </c>
      <c r="F10" s="843">
        <v>1300</v>
      </c>
      <c r="G10" s="843">
        <v>1150</v>
      </c>
      <c r="H10" s="843">
        <v>1050</v>
      </c>
      <c r="I10" s="843">
        <v>950</v>
      </c>
      <c r="J10" s="843">
        <f aca="true" t="shared" si="0" ref="J10:J74">SUM(E10:I10)/5</f>
        <v>1190</v>
      </c>
    </row>
    <row r="11" spans="1:18" s="947" customFormat="1" ht="32.25" customHeight="1">
      <c r="A11" s="942"/>
      <c r="B11" s="943" t="s">
        <v>689</v>
      </c>
      <c r="C11" s="944" t="s">
        <v>635</v>
      </c>
      <c r="D11" s="843">
        <f>'[5]BM8 c'!$K$11</f>
        <v>1252</v>
      </c>
      <c r="E11" s="946">
        <v>1132</v>
      </c>
      <c r="F11" s="946">
        <v>1032</v>
      </c>
      <c r="G11" s="946">
        <v>932</v>
      </c>
      <c r="H11" s="946">
        <v>852</v>
      </c>
      <c r="I11" s="946">
        <v>772</v>
      </c>
      <c r="J11" s="843">
        <f t="shared" si="0"/>
        <v>944</v>
      </c>
      <c r="Q11" s="1115"/>
      <c r="R11" s="1116"/>
    </row>
    <row r="12" spans="1:18" s="947" customFormat="1" ht="32.25" customHeight="1" hidden="1">
      <c r="A12" s="942"/>
      <c r="B12" s="943" t="s">
        <v>956</v>
      </c>
      <c r="C12" s="392" t="s">
        <v>635</v>
      </c>
      <c r="D12" s="843"/>
      <c r="E12" s="946">
        <v>670</v>
      </c>
      <c r="F12" s="946">
        <v>574</v>
      </c>
      <c r="G12" s="946">
        <v>497</v>
      </c>
      <c r="H12" s="946">
        <v>419</v>
      </c>
      <c r="I12" s="946">
        <v>247</v>
      </c>
      <c r="J12" s="843">
        <f t="shared" si="0"/>
        <v>481.4</v>
      </c>
      <c r="Q12" s="948"/>
      <c r="R12" s="1116"/>
    </row>
    <row r="13" spans="1:18" s="947" customFormat="1" ht="32.25" customHeight="1" hidden="1">
      <c r="A13" s="942"/>
      <c r="B13" s="943" t="s">
        <v>964</v>
      </c>
      <c r="C13" s="944" t="s">
        <v>635</v>
      </c>
      <c r="D13" s="843"/>
      <c r="E13" s="946">
        <v>403</v>
      </c>
      <c r="F13" s="946">
        <v>330</v>
      </c>
      <c r="G13" s="946">
        <v>285</v>
      </c>
      <c r="H13" s="946">
        <v>234</v>
      </c>
      <c r="I13" s="946">
        <v>142</v>
      </c>
      <c r="J13" s="843">
        <f t="shared" si="0"/>
        <v>278.8</v>
      </c>
      <c r="Q13" s="948"/>
      <c r="R13" s="1116"/>
    </row>
    <row r="14" spans="1:18" s="950" customFormat="1" ht="32.25" customHeight="1">
      <c r="A14" s="949">
        <v>3</v>
      </c>
      <c r="B14" s="392" t="s">
        <v>953</v>
      </c>
      <c r="C14" s="409" t="s">
        <v>6</v>
      </c>
      <c r="D14" s="706">
        <f>'[5]BM8 c'!$K$12</f>
        <v>10.51692344298376</v>
      </c>
      <c r="E14" s="983">
        <f aca="true" t="shared" si="1" ref="E14:I15">E10/E8*100</f>
        <v>8.674029954316776</v>
      </c>
      <c r="F14" s="983">
        <f t="shared" si="1"/>
        <v>7.443032176800641</v>
      </c>
      <c r="G14" s="983">
        <f t="shared" si="1"/>
        <v>6.51890482398957</v>
      </c>
      <c r="H14" s="983">
        <f t="shared" si="1"/>
        <v>5.893248021552449</v>
      </c>
      <c r="I14" s="983">
        <f t="shared" si="1"/>
        <v>5.278950877972883</v>
      </c>
      <c r="J14" s="706">
        <f>I14</f>
        <v>5.278950877972883</v>
      </c>
      <c r="Q14" s="1114"/>
      <c r="R14" s="1117"/>
    </row>
    <row r="15" spans="1:17" s="349" customFormat="1" ht="32.25" customHeight="1">
      <c r="A15" s="406"/>
      <c r="B15" s="390" t="s">
        <v>965</v>
      </c>
      <c r="C15" s="409" t="s">
        <v>6</v>
      </c>
      <c r="D15" s="706">
        <f>'[5]BM8 c'!$K$13</f>
        <v>20.258899676375407</v>
      </c>
      <c r="E15" s="706">
        <f t="shared" si="1"/>
        <v>17.78196669808357</v>
      </c>
      <c r="F15" s="706">
        <f t="shared" si="1"/>
        <v>15.738904987036756</v>
      </c>
      <c r="G15" s="706">
        <f t="shared" si="1"/>
        <v>13.801273508070489</v>
      </c>
      <c r="H15" s="706">
        <f t="shared" si="1"/>
        <v>12.248418631397355</v>
      </c>
      <c r="I15" s="706">
        <f t="shared" si="1"/>
        <v>10.774598743893929</v>
      </c>
      <c r="J15" s="706">
        <f>I15</f>
        <v>10.774598743893929</v>
      </c>
      <c r="Q15" s="1066"/>
    </row>
    <row r="16" spans="1:10" s="349" customFormat="1" ht="33" customHeight="1">
      <c r="A16" s="406" t="s">
        <v>30</v>
      </c>
      <c r="B16" s="661" t="s">
        <v>652</v>
      </c>
      <c r="C16" s="660"/>
      <c r="D16" s="383"/>
      <c r="E16" s="383"/>
      <c r="F16" s="383"/>
      <c r="G16" s="383"/>
      <c r="H16" s="383"/>
      <c r="I16" s="383"/>
      <c r="J16" s="843">
        <f t="shared" si="0"/>
        <v>0</v>
      </c>
    </row>
    <row r="17" spans="1:10" s="349" customFormat="1" ht="32.25" customHeight="1">
      <c r="A17" s="406"/>
      <c r="B17" s="662" t="s">
        <v>636</v>
      </c>
      <c r="C17" s="660" t="s">
        <v>650</v>
      </c>
      <c r="D17" s="409">
        <f>'[5]BM8 c'!J15</f>
        <v>12</v>
      </c>
      <c r="E17" s="409">
        <v>12</v>
      </c>
      <c r="F17" s="409">
        <v>12</v>
      </c>
      <c r="G17" s="409">
        <v>12</v>
      </c>
      <c r="H17" s="409">
        <v>12</v>
      </c>
      <c r="I17" s="409">
        <v>12</v>
      </c>
      <c r="J17" s="843">
        <f t="shared" si="0"/>
        <v>12</v>
      </c>
    </row>
    <row r="18" spans="1:10" s="349" customFormat="1" ht="32.25" customHeight="1">
      <c r="A18" s="406"/>
      <c r="B18" s="662" t="s">
        <v>637</v>
      </c>
      <c r="C18" s="660" t="s">
        <v>650</v>
      </c>
      <c r="D18" s="409">
        <f>'[5]BM8 c'!J16</f>
        <v>6</v>
      </c>
      <c r="E18" s="409">
        <v>6</v>
      </c>
      <c r="F18" s="409">
        <v>6</v>
      </c>
      <c r="G18" s="409">
        <v>6</v>
      </c>
      <c r="H18" s="409">
        <v>6</v>
      </c>
      <c r="I18" s="409">
        <v>6</v>
      </c>
      <c r="J18" s="843">
        <f t="shared" si="0"/>
        <v>6</v>
      </c>
    </row>
    <row r="19" spans="1:10" s="349" customFormat="1" ht="32.25" customHeight="1">
      <c r="A19" s="406"/>
      <c r="B19" s="662" t="s">
        <v>638</v>
      </c>
      <c r="C19" s="660" t="s">
        <v>650</v>
      </c>
      <c r="D19" s="409">
        <f>'[5]BM8 c'!J17</f>
        <v>12</v>
      </c>
      <c r="E19" s="409">
        <v>12</v>
      </c>
      <c r="F19" s="409">
        <v>12</v>
      </c>
      <c r="G19" s="409">
        <v>12</v>
      </c>
      <c r="H19" s="409">
        <v>12</v>
      </c>
      <c r="I19" s="409">
        <v>12</v>
      </c>
      <c r="J19" s="843">
        <f t="shared" si="0"/>
        <v>12</v>
      </c>
    </row>
    <row r="20" spans="1:10" s="349" customFormat="1" ht="32.25" customHeight="1">
      <c r="A20" s="406"/>
      <c r="B20" s="662" t="s">
        <v>639</v>
      </c>
      <c r="C20" s="660" t="s">
        <v>6</v>
      </c>
      <c r="D20" s="409">
        <f>'[5]BM8 c'!J18</f>
        <v>100</v>
      </c>
      <c r="E20" s="409">
        <v>100</v>
      </c>
      <c r="F20" s="409">
        <v>100</v>
      </c>
      <c r="G20" s="409">
        <v>100</v>
      </c>
      <c r="H20" s="409">
        <v>100</v>
      </c>
      <c r="I20" s="409">
        <v>100</v>
      </c>
      <c r="J20" s="843">
        <f t="shared" si="0"/>
        <v>100</v>
      </c>
    </row>
    <row r="21" spans="1:10" s="349" customFormat="1" ht="32.25" customHeight="1">
      <c r="A21" s="406"/>
      <c r="B21" s="662" t="s">
        <v>640</v>
      </c>
      <c r="C21" s="660" t="s">
        <v>650</v>
      </c>
      <c r="D21" s="409">
        <f>'[5]BM8 c'!J19</f>
        <v>12</v>
      </c>
      <c r="E21" s="409">
        <v>12</v>
      </c>
      <c r="F21" s="409">
        <v>12</v>
      </c>
      <c r="G21" s="409">
        <v>12</v>
      </c>
      <c r="H21" s="409">
        <v>12</v>
      </c>
      <c r="I21" s="409">
        <v>12</v>
      </c>
      <c r="J21" s="843">
        <f t="shared" si="0"/>
        <v>12</v>
      </c>
    </row>
    <row r="22" spans="1:10" s="349" customFormat="1" ht="32.25" customHeight="1">
      <c r="A22" s="406"/>
      <c r="B22" s="662" t="s">
        <v>641</v>
      </c>
      <c r="C22" s="660" t="s">
        <v>6</v>
      </c>
      <c r="D22" s="409">
        <f>'[5]BM8 c'!J20</f>
        <v>100</v>
      </c>
      <c r="E22" s="847">
        <f>12/12*100</f>
        <v>100</v>
      </c>
      <c r="F22" s="409">
        <v>100</v>
      </c>
      <c r="G22" s="409">
        <v>100</v>
      </c>
      <c r="H22" s="409">
        <v>100</v>
      </c>
      <c r="I22" s="409">
        <v>100</v>
      </c>
      <c r="J22" s="843">
        <f t="shared" si="0"/>
        <v>100</v>
      </c>
    </row>
    <row r="23" spans="1:10" s="349" customFormat="1" ht="32.25" customHeight="1">
      <c r="A23" s="406"/>
      <c r="B23" s="662" t="s">
        <v>642</v>
      </c>
      <c r="C23" s="660" t="s">
        <v>650</v>
      </c>
      <c r="D23" s="409">
        <v>12</v>
      </c>
      <c r="E23" s="409">
        <v>12</v>
      </c>
      <c r="F23" s="409">
        <v>12</v>
      </c>
      <c r="G23" s="409">
        <v>12</v>
      </c>
      <c r="H23" s="409">
        <v>12</v>
      </c>
      <c r="I23" s="409">
        <v>12</v>
      </c>
      <c r="J23" s="843">
        <f t="shared" si="0"/>
        <v>12</v>
      </c>
    </row>
    <row r="24" spans="1:10" s="349" customFormat="1" ht="32.25" customHeight="1">
      <c r="A24" s="406"/>
      <c r="B24" s="662" t="s">
        <v>643</v>
      </c>
      <c r="C24" s="660" t="s">
        <v>6</v>
      </c>
      <c r="D24" s="409">
        <v>100</v>
      </c>
      <c r="E24" s="409">
        <v>100</v>
      </c>
      <c r="F24" s="409">
        <v>100</v>
      </c>
      <c r="G24" s="409">
        <v>100</v>
      </c>
      <c r="H24" s="409">
        <v>100</v>
      </c>
      <c r="I24" s="409">
        <v>100</v>
      </c>
      <c r="J24" s="843">
        <f t="shared" si="0"/>
        <v>100</v>
      </c>
    </row>
    <row r="25" spans="1:10" s="349" customFormat="1" ht="32.25" customHeight="1">
      <c r="A25" s="406"/>
      <c r="B25" s="662" t="s">
        <v>644</v>
      </c>
      <c r="C25" s="660" t="s">
        <v>650</v>
      </c>
      <c r="D25" s="409">
        <v>12</v>
      </c>
      <c r="E25" s="409">
        <v>12</v>
      </c>
      <c r="F25" s="409">
        <v>12</v>
      </c>
      <c r="G25" s="409">
        <v>12</v>
      </c>
      <c r="H25" s="409">
        <v>12</v>
      </c>
      <c r="I25" s="409">
        <v>12</v>
      </c>
      <c r="J25" s="843">
        <f t="shared" si="0"/>
        <v>12</v>
      </c>
    </row>
    <row r="26" spans="1:10" s="349" customFormat="1" ht="32.25" customHeight="1">
      <c r="A26" s="406"/>
      <c r="B26" s="662" t="s">
        <v>645</v>
      </c>
      <c r="C26" s="660" t="s">
        <v>6</v>
      </c>
      <c r="D26" s="844">
        <f>'[5]BM8 c'!$J$24</f>
        <v>98</v>
      </c>
      <c r="E26" s="1064">
        <f>'BM3r '!D34</f>
        <v>98.5</v>
      </c>
      <c r="F26" s="1064">
        <f>'BM3r '!E34</f>
        <v>99</v>
      </c>
      <c r="G26" s="1064">
        <f>'BM3r '!F34</f>
        <v>99</v>
      </c>
      <c r="H26" s="1064">
        <f>'BM3r '!G34</f>
        <v>99</v>
      </c>
      <c r="I26" s="1064">
        <f>'BM3r '!H34</f>
        <v>99</v>
      </c>
      <c r="J26" s="843">
        <f t="shared" si="0"/>
        <v>98.9</v>
      </c>
    </row>
    <row r="27" spans="1:10" s="349" customFormat="1" ht="32.25" customHeight="1">
      <c r="A27" s="406"/>
      <c r="B27" s="570" t="s">
        <v>899</v>
      </c>
      <c r="C27" s="660" t="s">
        <v>6</v>
      </c>
      <c r="D27" s="388">
        <f>'[5]BM8 c'!$J$25</f>
        <v>90.00059484861103</v>
      </c>
      <c r="E27" s="847">
        <f>E28/E8*100</f>
        <v>91.03683571387266</v>
      </c>
      <c r="F27" s="847">
        <f>F28/F8*100</f>
        <v>92.17909080499255</v>
      </c>
      <c r="G27" s="847">
        <f>G28/G8*100</f>
        <v>92.96525140298169</v>
      </c>
      <c r="H27" s="847">
        <f>H28/H8*100</f>
        <v>93.73070662850087</v>
      </c>
      <c r="I27" s="847">
        <f>I28/I8*100</f>
        <v>94.02089353189598</v>
      </c>
      <c r="J27" s="843">
        <f t="shared" si="0"/>
        <v>92.78655561644875</v>
      </c>
    </row>
    <row r="28" spans="1:17" s="349" customFormat="1" ht="32.25" customHeight="1">
      <c r="A28" s="406"/>
      <c r="B28" s="570" t="s">
        <v>900</v>
      </c>
      <c r="C28" s="660" t="s">
        <v>635</v>
      </c>
      <c r="D28" s="843">
        <f>'[5]BM8 c'!$J$26</f>
        <v>15130</v>
      </c>
      <c r="E28" s="843">
        <v>15743</v>
      </c>
      <c r="F28" s="843">
        <v>16100</v>
      </c>
      <c r="G28" s="843">
        <v>16400</v>
      </c>
      <c r="H28" s="843">
        <v>16700</v>
      </c>
      <c r="I28" s="843">
        <v>16920</v>
      </c>
      <c r="J28" s="843">
        <f t="shared" si="0"/>
        <v>16372.6</v>
      </c>
      <c r="Q28" s="846">
        <f>E28*5%</f>
        <v>787.1500000000001</v>
      </c>
    </row>
    <row r="29" spans="1:10" s="349" customFormat="1" ht="32.25" customHeight="1" hidden="1">
      <c r="A29" s="406"/>
      <c r="B29" s="662" t="s">
        <v>646</v>
      </c>
      <c r="C29" s="660"/>
      <c r="D29" s="383"/>
      <c r="E29" s="845"/>
      <c r="F29" s="845"/>
      <c r="G29" s="845"/>
      <c r="H29" s="845"/>
      <c r="I29" s="845"/>
      <c r="J29" s="843">
        <f t="shared" si="0"/>
        <v>0</v>
      </c>
    </row>
    <row r="30" spans="1:10" s="349" customFormat="1" ht="32.25" customHeight="1" hidden="1">
      <c r="A30" s="406"/>
      <c r="B30" s="662" t="s">
        <v>647</v>
      </c>
      <c r="C30" s="660" t="s">
        <v>6</v>
      </c>
      <c r="D30" s="383"/>
      <c r="E30" s="383"/>
      <c r="F30" s="383"/>
      <c r="G30" s="383"/>
      <c r="H30" s="383"/>
      <c r="I30" s="383"/>
      <c r="J30" s="843">
        <f t="shared" si="0"/>
        <v>0</v>
      </c>
    </row>
    <row r="31" spans="1:10" s="349" customFormat="1" ht="32.25" customHeight="1" hidden="1">
      <c r="A31" s="406"/>
      <c r="B31" s="662" t="s">
        <v>648</v>
      </c>
      <c r="C31" s="660" t="s">
        <v>6</v>
      </c>
      <c r="D31" s="383"/>
      <c r="E31" s="383"/>
      <c r="F31" s="383"/>
      <c r="G31" s="383"/>
      <c r="H31" s="383"/>
      <c r="I31" s="383"/>
      <c r="J31" s="843">
        <f t="shared" si="0"/>
        <v>0</v>
      </c>
    </row>
    <row r="32" spans="1:10" s="349" customFormat="1" ht="32.25" customHeight="1">
      <c r="A32" s="406"/>
      <c r="B32" s="662" t="s">
        <v>649</v>
      </c>
      <c r="C32" s="660" t="s">
        <v>650</v>
      </c>
      <c r="D32" s="409">
        <v>7</v>
      </c>
      <c r="E32" s="409">
        <v>7</v>
      </c>
      <c r="F32" s="409">
        <v>7</v>
      </c>
      <c r="G32" s="409">
        <v>7</v>
      </c>
      <c r="H32" s="409">
        <v>7</v>
      </c>
      <c r="I32" s="409">
        <v>7</v>
      </c>
      <c r="J32" s="843">
        <f t="shared" si="0"/>
        <v>7</v>
      </c>
    </row>
    <row r="33" spans="1:10" s="349" customFormat="1" ht="32.25" customHeight="1">
      <c r="A33" s="406"/>
      <c r="B33" s="662" t="s">
        <v>651</v>
      </c>
      <c r="C33" s="660" t="s">
        <v>6</v>
      </c>
      <c r="D33" s="844">
        <f>7/12*100</f>
        <v>58.333333333333336</v>
      </c>
      <c r="E33" s="844">
        <f>E32/12*100</f>
        <v>58.333333333333336</v>
      </c>
      <c r="F33" s="844">
        <f>F32/12*100</f>
        <v>58.333333333333336</v>
      </c>
      <c r="G33" s="844">
        <f>G32/12*100</f>
        <v>58.333333333333336</v>
      </c>
      <c r="H33" s="844">
        <f>H32/12*100</f>
        <v>58.333333333333336</v>
      </c>
      <c r="I33" s="844">
        <f>I32/12*100</f>
        <v>58.333333333333336</v>
      </c>
      <c r="J33" s="843">
        <f t="shared" si="0"/>
        <v>58.333333333333336</v>
      </c>
    </row>
    <row r="34" spans="1:22" s="329" customFormat="1" ht="36.75" customHeight="1">
      <c r="A34" s="386" t="s">
        <v>41</v>
      </c>
      <c r="B34" s="387" t="s">
        <v>266</v>
      </c>
      <c r="C34" s="383"/>
      <c r="D34" s="521"/>
      <c r="E34" s="424"/>
      <c r="F34" s="423"/>
      <c r="G34" s="423"/>
      <c r="H34" s="423"/>
      <c r="I34" s="423"/>
      <c r="J34" s="843">
        <f t="shared" si="0"/>
        <v>0</v>
      </c>
      <c r="K34" s="356"/>
      <c r="M34" s="357"/>
      <c r="N34" s="356"/>
      <c r="P34" s="357"/>
      <c r="Q34" s="356"/>
      <c r="S34" s="357"/>
      <c r="T34" s="356"/>
      <c r="V34" s="357"/>
    </row>
    <row r="35" spans="1:22" ht="35.25" customHeight="1">
      <c r="A35" s="389"/>
      <c r="B35" s="392" t="s">
        <v>249</v>
      </c>
      <c r="C35" s="409" t="s">
        <v>299</v>
      </c>
      <c r="D35" s="522">
        <f>'[5]BM8 c'!$K$33</f>
        <v>72083</v>
      </c>
      <c r="E35" s="412">
        <v>73527</v>
      </c>
      <c r="F35" s="412">
        <v>74884</v>
      </c>
      <c r="G35" s="412">
        <v>76307</v>
      </c>
      <c r="H35" s="412">
        <v>77729</v>
      </c>
      <c r="I35" s="412">
        <v>79052</v>
      </c>
      <c r="J35" s="843">
        <f t="shared" si="0"/>
        <v>76299.8</v>
      </c>
      <c r="K35" s="354"/>
      <c r="M35" s="352"/>
      <c r="N35" s="354"/>
      <c r="P35" s="352"/>
      <c r="Q35" s="354">
        <f>H35*H38</f>
        <v>97161.25</v>
      </c>
      <c r="S35" s="352"/>
      <c r="T35" s="354"/>
      <c r="V35" s="352"/>
    </row>
    <row r="36" spans="1:22" s="350" customFormat="1" ht="29.25" customHeight="1" hidden="1">
      <c r="A36" s="416"/>
      <c r="B36" s="390" t="s">
        <v>250</v>
      </c>
      <c r="C36" s="418" t="s">
        <v>260</v>
      </c>
      <c r="D36" s="524"/>
      <c r="E36" s="428"/>
      <c r="F36" s="525"/>
      <c r="G36" s="525"/>
      <c r="H36" s="525"/>
      <c r="I36" s="525"/>
      <c r="J36" s="843">
        <f t="shared" si="0"/>
        <v>0</v>
      </c>
      <c r="K36" s="359"/>
      <c r="M36" s="358"/>
      <c r="N36" s="359"/>
      <c r="P36" s="358"/>
      <c r="Q36" s="360">
        <f>Q35+H35</f>
        <v>174890.25</v>
      </c>
      <c r="R36" s="361">
        <f>+G35-F35</f>
        <v>1423</v>
      </c>
      <c r="S36" s="362">
        <f>+H35-G35</f>
        <v>1422</v>
      </c>
      <c r="T36" s="360">
        <f>+I35-H35</f>
        <v>1323</v>
      </c>
      <c r="U36" s="361">
        <f>+J35-I35</f>
        <v>-2752.199999999997</v>
      </c>
      <c r="V36" s="358"/>
    </row>
    <row r="37" spans="1:10" s="967" customFormat="1" ht="33" customHeight="1">
      <c r="A37" s="966"/>
      <c r="B37" s="927" t="s">
        <v>265</v>
      </c>
      <c r="C37" s="928" t="s">
        <v>347</v>
      </c>
      <c r="D37" s="968">
        <f>'[5]BM8 c'!$J$35</f>
        <v>0.7</v>
      </c>
      <c r="E37" s="931">
        <v>0.5</v>
      </c>
      <c r="F37" s="931">
        <v>0.6</v>
      </c>
      <c r="G37" s="931">
        <v>0.8</v>
      </c>
      <c r="H37" s="931">
        <v>0.5</v>
      </c>
      <c r="I37" s="931">
        <v>0.4</v>
      </c>
      <c r="J37" s="843">
        <f t="shared" si="0"/>
        <v>0.56</v>
      </c>
    </row>
    <row r="38" spans="1:10" s="350" customFormat="1" ht="39" customHeight="1">
      <c r="A38" s="416"/>
      <c r="B38" s="435" t="s">
        <v>377</v>
      </c>
      <c r="C38" s="394" t="s">
        <v>213</v>
      </c>
      <c r="D38" s="388">
        <v>1.4</v>
      </c>
      <c r="E38" s="523">
        <v>1.29</v>
      </c>
      <c r="F38" s="523">
        <v>1.28</v>
      </c>
      <c r="G38" s="523">
        <v>1.27</v>
      </c>
      <c r="H38" s="523">
        <v>1.25</v>
      </c>
      <c r="I38" s="523">
        <v>1.2</v>
      </c>
      <c r="J38" s="843">
        <f t="shared" si="0"/>
        <v>1.258</v>
      </c>
    </row>
    <row r="39" spans="1:10" s="350" customFormat="1" ht="34.5" customHeight="1">
      <c r="A39" s="416"/>
      <c r="B39" s="570" t="s">
        <v>418</v>
      </c>
      <c r="C39" s="394" t="s">
        <v>960</v>
      </c>
      <c r="D39" s="388">
        <v>70</v>
      </c>
      <c r="E39" s="523">
        <v>70.4</v>
      </c>
      <c r="F39" s="523">
        <v>70.8</v>
      </c>
      <c r="G39" s="523">
        <v>71</v>
      </c>
      <c r="H39" s="523">
        <v>71.5</v>
      </c>
      <c r="I39" s="523">
        <v>72</v>
      </c>
      <c r="J39" s="843">
        <f t="shared" si="0"/>
        <v>71.14</v>
      </c>
    </row>
    <row r="40" spans="1:10" s="329" customFormat="1" ht="32.25" customHeight="1">
      <c r="A40" s="386" t="s">
        <v>42</v>
      </c>
      <c r="B40" s="384" t="s">
        <v>267</v>
      </c>
      <c r="C40" s="383"/>
      <c r="D40" s="385"/>
      <c r="E40" s="425"/>
      <c r="F40" s="425"/>
      <c r="G40" s="425"/>
      <c r="H40" s="425"/>
      <c r="I40" s="425"/>
      <c r="J40" s="843">
        <f t="shared" si="0"/>
        <v>0</v>
      </c>
    </row>
    <row r="41" spans="1:10" ht="32.25" customHeight="1">
      <c r="A41" s="389">
        <v>1</v>
      </c>
      <c r="B41" s="410" t="s">
        <v>679</v>
      </c>
      <c r="C41" s="409" t="s">
        <v>677</v>
      </c>
      <c r="D41" s="861">
        <f>'[5]BM8 c'!J38</f>
        <v>40.187</v>
      </c>
      <c r="E41" s="731">
        <v>41.31</v>
      </c>
      <c r="F41" s="731">
        <v>42.452</v>
      </c>
      <c r="G41" s="731">
        <v>43.612</v>
      </c>
      <c r="H41" s="731">
        <v>44.788</v>
      </c>
      <c r="I41" s="731">
        <v>45.979</v>
      </c>
      <c r="J41" s="843">
        <f t="shared" si="0"/>
        <v>43.62819999999999</v>
      </c>
    </row>
    <row r="42" spans="1:10" ht="36.75" customHeight="1" hidden="1">
      <c r="A42" s="389"/>
      <c r="B42" s="410" t="s">
        <v>678</v>
      </c>
      <c r="C42" s="409" t="s">
        <v>677</v>
      </c>
      <c r="D42" s="861" t="e">
        <f>'[5]BM8 c'!J39</f>
        <v>#REF!</v>
      </c>
      <c r="E42" s="731"/>
      <c r="F42" s="731"/>
      <c r="G42" s="731"/>
      <c r="H42" s="731"/>
      <c r="I42" s="731"/>
      <c r="J42" s="843">
        <f t="shared" si="0"/>
        <v>0</v>
      </c>
    </row>
    <row r="43" spans="1:10" s="972" customFormat="1" ht="44.25" customHeight="1">
      <c r="A43" s="951">
        <v>2</v>
      </c>
      <c r="B43" s="969" t="s">
        <v>251</v>
      </c>
      <c r="C43" s="970" t="s">
        <v>677</v>
      </c>
      <c r="D43" s="968">
        <f>'[5]BM8 c'!J40</f>
        <v>38.503</v>
      </c>
      <c r="E43" s="971">
        <v>39.594</v>
      </c>
      <c r="F43" s="971">
        <v>40.685</v>
      </c>
      <c r="G43" s="971">
        <v>41.786</v>
      </c>
      <c r="H43" s="971">
        <v>42.906</v>
      </c>
      <c r="I43" s="971">
        <v>43.906</v>
      </c>
      <c r="J43" s="843">
        <f t="shared" si="0"/>
        <v>41.775400000000005</v>
      </c>
    </row>
    <row r="44" spans="1:17" s="350" customFormat="1" ht="29.25" customHeight="1" hidden="1">
      <c r="A44" s="416"/>
      <c r="B44" s="417" t="s">
        <v>252</v>
      </c>
      <c r="C44" s="418"/>
      <c r="D44" s="861" t="e">
        <f>'[5]BM8 c'!J41</f>
        <v>#REF!</v>
      </c>
      <c r="E44" s="420"/>
      <c r="F44" s="420"/>
      <c r="G44" s="420"/>
      <c r="H44" s="415"/>
      <c r="I44" s="415"/>
      <c r="J44" s="843">
        <f t="shared" si="0"/>
        <v>0</v>
      </c>
      <c r="L44" s="350">
        <f>SUM(L45:L47)</f>
        <v>39.46445</v>
      </c>
      <c r="M44" s="350">
        <f>SUM(M45:M47)</f>
        <v>41.36814</v>
      </c>
      <c r="N44" s="350">
        <f>SUM(N45:N47)</f>
        <v>43.335060000000006</v>
      </c>
      <c r="O44" s="350">
        <f>SUM(O45:O47)</f>
        <v>45.22318</v>
      </c>
      <c r="P44" s="363">
        <f>SUM(P45:P47)</f>
        <v>41.566523000000004</v>
      </c>
      <c r="Q44" s="361">
        <f>+G43-F43</f>
        <v>1.100999999999999</v>
      </c>
    </row>
    <row r="45" spans="1:16" ht="38.25" customHeight="1">
      <c r="A45" s="389"/>
      <c r="B45" s="435" t="s">
        <v>253</v>
      </c>
      <c r="C45" s="394" t="s">
        <v>213</v>
      </c>
      <c r="D45" s="861">
        <f>'[5]BM8 c'!J42</f>
        <v>74</v>
      </c>
      <c r="E45" s="415">
        <v>72</v>
      </c>
      <c r="F45" s="415">
        <v>71</v>
      </c>
      <c r="G45" s="415">
        <v>69</v>
      </c>
      <c r="H45" s="415">
        <v>67</v>
      </c>
      <c r="I45" s="415">
        <v>65</v>
      </c>
      <c r="J45" s="843">
        <f t="shared" si="0"/>
        <v>68.8</v>
      </c>
      <c r="L45" s="331">
        <f>F45/100*F43</f>
        <v>28.88635</v>
      </c>
      <c r="M45" s="331">
        <f>G45/100*G43</f>
        <v>28.83234</v>
      </c>
      <c r="N45" s="331">
        <f>H45/100*H43</f>
        <v>28.747020000000003</v>
      </c>
      <c r="O45" s="331">
        <f>I45/100*I43</f>
        <v>28.5389</v>
      </c>
      <c r="P45" s="331">
        <f>40.5/100*J43</f>
        <v>16.919037000000003</v>
      </c>
    </row>
    <row r="46" spans="1:16" ht="35.25" customHeight="1">
      <c r="A46" s="389"/>
      <c r="B46" s="435" t="s">
        <v>23</v>
      </c>
      <c r="C46" s="394" t="s">
        <v>213</v>
      </c>
      <c r="D46" s="861">
        <f>'[5]BM8 c'!J43</f>
        <v>3</v>
      </c>
      <c r="E46" s="412">
        <v>6</v>
      </c>
      <c r="F46" s="415">
        <v>8</v>
      </c>
      <c r="G46" s="415">
        <v>10</v>
      </c>
      <c r="H46" s="415">
        <v>12</v>
      </c>
      <c r="I46" s="415">
        <v>14</v>
      </c>
      <c r="J46" s="843">
        <f t="shared" si="0"/>
        <v>10</v>
      </c>
      <c r="K46" s="366"/>
      <c r="L46" s="331">
        <f>F46/100*F43</f>
        <v>3.2548000000000004</v>
      </c>
      <c r="M46" s="331">
        <f>G46/100*G43</f>
        <v>4.1786</v>
      </c>
      <c r="N46" s="331">
        <f>H46/100*H43</f>
        <v>5.14872</v>
      </c>
      <c r="O46" s="331">
        <f>I46/100*I43</f>
        <v>6.14684</v>
      </c>
      <c r="P46" s="331">
        <f>28.5/100*J43</f>
        <v>11.905989</v>
      </c>
    </row>
    <row r="47" spans="1:16" ht="29.25" customHeight="1">
      <c r="A47" s="389"/>
      <c r="B47" s="435" t="s">
        <v>24</v>
      </c>
      <c r="C47" s="394" t="s">
        <v>213</v>
      </c>
      <c r="D47" s="861">
        <f>'[5]BM8 c'!J44</f>
        <v>13</v>
      </c>
      <c r="E47" s="415">
        <v>16</v>
      </c>
      <c r="F47" s="415">
        <v>18</v>
      </c>
      <c r="G47" s="415">
        <v>20</v>
      </c>
      <c r="H47" s="415">
        <v>22</v>
      </c>
      <c r="I47" s="415">
        <v>24</v>
      </c>
      <c r="J47" s="843">
        <f t="shared" si="0"/>
        <v>20</v>
      </c>
      <c r="K47" s="366"/>
      <c r="L47" s="331">
        <f>F47/100*F43</f>
        <v>7.3233</v>
      </c>
      <c r="M47" s="331">
        <f>G47/100*G43</f>
        <v>8.3572</v>
      </c>
      <c r="N47" s="331">
        <f>H47/100*H43</f>
        <v>9.43932</v>
      </c>
      <c r="O47" s="331">
        <f>I47/100*I43</f>
        <v>10.53744</v>
      </c>
      <c r="P47" s="331">
        <f>30.5/100*J43</f>
        <v>12.741497</v>
      </c>
    </row>
    <row r="48" spans="1:11" s="972" customFormat="1" ht="40.5" customHeight="1">
      <c r="A48" s="951">
        <v>3</v>
      </c>
      <c r="B48" s="927" t="s">
        <v>925</v>
      </c>
      <c r="C48" s="970" t="s">
        <v>677</v>
      </c>
      <c r="D48" s="968">
        <f>'[5]BM8 c'!$J$45</f>
        <v>39.175</v>
      </c>
      <c r="E48" s="931">
        <v>39.21</v>
      </c>
      <c r="F48" s="931">
        <v>40.356</v>
      </c>
      <c r="G48" s="931">
        <v>41.562</v>
      </c>
      <c r="H48" s="931">
        <v>42.712</v>
      </c>
      <c r="I48" s="931">
        <v>43.813</v>
      </c>
      <c r="J48" s="843">
        <f t="shared" si="0"/>
        <v>41.53060000000001</v>
      </c>
      <c r="K48" s="973"/>
    </row>
    <row r="49" spans="1:11" s="972" customFormat="1" ht="33" customHeight="1">
      <c r="A49" s="951">
        <v>4</v>
      </c>
      <c r="B49" s="952" t="s">
        <v>926</v>
      </c>
      <c r="C49" s="569" t="s">
        <v>299</v>
      </c>
      <c r="D49" s="968">
        <f>'[5]BM8 c'!$J$46</f>
        <v>1314</v>
      </c>
      <c r="E49" s="931">
        <v>1064</v>
      </c>
      <c r="F49" s="931">
        <v>1091</v>
      </c>
      <c r="G49" s="931">
        <v>1091</v>
      </c>
      <c r="H49" s="931">
        <v>1101</v>
      </c>
      <c r="I49" s="931">
        <v>1000</v>
      </c>
      <c r="J49" s="843">
        <f t="shared" si="0"/>
        <v>1069.4</v>
      </c>
      <c r="K49" s="973"/>
    </row>
    <row r="50" spans="1:11" ht="31.5" customHeight="1">
      <c r="A50" s="389">
        <v>5</v>
      </c>
      <c r="B50" s="666" t="s">
        <v>663</v>
      </c>
      <c r="C50" s="605" t="s">
        <v>662</v>
      </c>
      <c r="D50" s="953">
        <f>'[5]BM8 c'!$J$47</f>
        <v>1.518</v>
      </c>
      <c r="E50" s="864">
        <f>1046/1000</f>
        <v>1.046</v>
      </c>
      <c r="F50" s="864">
        <f>951/1000</f>
        <v>0.951</v>
      </c>
      <c r="G50" s="523">
        <f>889/1000</f>
        <v>0.889</v>
      </c>
      <c r="H50" s="523">
        <f>810/1000</f>
        <v>0.81</v>
      </c>
      <c r="I50" s="523">
        <f>711/1000</f>
        <v>0.711</v>
      </c>
      <c r="J50" s="706">
        <f>I50</f>
        <v>0.711</v>
      </c>
      <c r="K50" s="366"/>
    </row>
    <row r="51" spans="1:11" ht="31.5" customHeight="1">
      <c r="A51" s="389">
        <v>6</v>
      </c>
      <c r="B51" s="662" t="s">
        <v>655</v>
      </c>
      <c r="C51" s="663" t="s">
        <v>656</v>
      </c>
      <c r="D51" s="388">
        <f>'[5]BM8 c'!$J$48</f>
        <v>445</v>
      </c>
      <c r="E51" s="415">
        <v>454</v>
      </c>
      <c r="F51" s="523">
        <v>504</v>
      </c>
      <c r="G51" s="523">
        <v>554</v>
      </c>
      <c r="H51" s="523">
        <v>605</v>
      </c>
      <c r="I51" s="523">
        <v>655</v>
      </c>
      <c r="J51" s="843">
        <f t="shared" si="0"/>
        <v>554.4</v>
      </c>
      <c r="K51" s="366"/>
    </row>
    <row r="52" spans="1:11" s="934" customFormat="1" ht="31.5" customHeight="1" hidden="1">
      <c r="A52" s="938"/>
      <c r="B52" s="940" t="s">
        <v>657</v>
      </c>
      <c r="C52" s="941" t="s">
        <v>656</v>
      </c>
      <c r="D52" s="861"/>
      <c r="E52" s="925"/>
      <c r="F52" s="937"/>
      <c r="G52" s="937"/>
      <c r="H52" s="937"/>
      <c r="I52" s="937"/>
      <c r="J52" s="843">
        <f t="shared" si="0"/>
        <v>0</v>
      </c>
      <c r="K52" s="939"/>
    </row>
    <row r="53" spans="1:18" s="934" customFormat="1" ht="31.5" customHeight="1">
      <c r="A53" s="1111">
        <v>7</v>
      </c>
      <c r="B53" s="1112" t="s">
        <v>970</v>
      </c>
      <c r="C53" s="663" t="s">
        <v>654</v>
      </c>
      <c r="D53" s="843">
        <f>'[5]BM8 c'!J50</f>
        <v>14831</v>
      </c>
      <c r="E53" s="1113">
        <v>11104</v>
      </c>
      <c r="F53" s="1113">
        <v>11279</v>
      </c>
      <c r="G53" s="1113">
        <v>11469</v>
      </c>
      <c r="H53" s="1113">
        <v>11684</v>
      </c>
      <c r="I53" s="1113">
        <v>11924</v>
      </c>
      <c r="J53" s="945">
        <f t="shared" si="0"/>
        <v>11492</v>
      </c>
      <c r="K53" s="973"/>
      <c r="L53" s="972"/>
      <c r="M53" s="972"/>
      <c r="N53" s="972"/>
      <c r="O53" s="972"/>
      <c r="P53" s="972"/>
      <c r="Q53" s="972"/>
      <c r="R53" s="972"/>
    </row>
    <row r="54" spans="1:11" ht="31.5" customHeight="1">
      <c r="A54" s="389">
        <v>8</v>
      </c>
      <c r="B54" s="662" t="s">
        <v>971</v>
      </c>
      <c r="C54" s="663" t="s">
        <v>654</v>
      </c>
      <c r="D54" s="861">
        <f>'[5]BM8 c'!J51</f>
        <v>2209</v>
      </c>
      <c r="E54" s="841">
        <v>2065</v>
      </c>
      <c r="F54" s="841">
        <v>2251</v>
      </c>
      <c r="G54" s="841">
        <v>2448</v>
      </c>
      <c r="H54" s="841">
        <v>2650</v>
      </c>
      <c r="I54" s="841">
        <v>2888</v>
      </c>
      <c r="J54" s="843">
        <f t="shared" si="0"/>
        <v>2460.4</v>
      </c>
      <c r="K54" s="366"/>
    </row>
    <row r="55" spans="1:11" ht="31.5" customHeight="1">
      <c r="A55" s="389"/>
      <c r="B55" s="662" t="s">
        <v>659</v>
      </c>
      <c r="C55" s="663" t="s">
        <v>654</v>
      </c>
      <c r="D55" s="861">
        <f>'[5]BM8 c'!J52</f>
        <v>1215</v>
      </c>
      <c r="E55" s="841">
        <v>190</v>
      </c>
      <c r="F55" s="841">
        <v>170</v>
      </c>
      <c r="G55" s="841">
        <v>150</v>
      </c>
      <c r="H55" s="841">
        <v>150</v>
      </c>
      <c r="I55" s="841">
        <v>150</v>
      </c>
      <c r="J55" s="843">
        <f t="shared" si="0"/>
        <v>162</v>
      </c>
      <c r="K55" s="366"/>
    </row>
    <row r="56" spans="1:11" ht="31.5" customHeight="1">
      <c r="A56" s="389"/>
      <c r="B56" s="662" t="s">
        <v>660</v>
      </c>
      <c r="C56" s="663" t="s">
        <v>654</v>
      </c>
      <c r="D56" s="861">
        <f>'[5]BM8 c'!J53</f>
        <v>994</v>
      </c>
      <c r="E56" s="841">
        <v>110</v>
      </c>
      <c r="F56" s="841">
        <v>130</v>
      </c>
      <c r="G56" s="841">
        <v>150</v>
      </c>
      <c r="H56" s="841">
        <v>150</v>
      </c>
      <c r="I56" s="841">
        <v>150</v>
      </c>
      <c r="J56" s="843">
        <f t="shared" si="0"/>
        <v>138</v>
      </c>
      <c r="K56" s="366"/>
    </row>
    <row r="57" spans="1:20" s="329" customFormat="1" ht="31.5" customHeight="1">
      <c r="A57" s="386" t="s">
        <v>653</v>
      </c>
      <c r="B57" s="384" t="s">
        <v>268</v>
      </c>
      <c r="C57" s="383"/>
      <c r="D57" s="385"/>
      <c r="E57" s="425"/>
      <c r="F57" s="425"/>
      <c r="G57" s="425"/>
      <c r="H57" s="425"/>
      <c r="I57" s="425"/>
      <c r="J57" s="843">
        <f t="shared" si="0"/>
        <v>0</v>
      </c>
      <c r="K57" s="367"/>
      <c r="M57" s="357"/>
      <c r="N57" s="356"/>
      <c r="P57" s="357"/>
      <c r="Q57" s="356"/>
      <c r="S57" s="357"/>
      <c r="T57" s="356"/>
    </row>
    <row r="58" spans="1:11" ht="29.25" customHeight="1">
      <c r="A58" s="389"/>
      <c r="B58" s="410" t="s">
        <v>254</v>
      </c>
      <c r="C58" s="409" t="s">
        <v>261</v>
      </c>
      <c r="D58" s="388">
        <v>2</v>
      </c>
      <c r="E58" s="415">
        <v>0</v>
      </c>
      <c r="F58" s="415">
        <v>1</v>
      </c>
      <c r="G58" s="415">
        <v>0</v>
      </c>
      <c r="H58" s="415">
        <v>1</v>
      </c>
      <c r="I58" s="415">
        <v>0</v>
      </c>
      <c r="J58" s="843">
        <v>1</v>
      </c>
      <c r="K58" s="366"/>
    </row>
    <row r="59" spans="1:11" ht="29.25" customHeight="1">
      <c r="A59" s="389"/>
      <c r="B59" s="410" t="s">
        <v>680</v>
      </c>
      <c r="C59" s="409" t="s">
        <v>681</v>
      </c>
      <c r="D59" s="840">
        <v>3600</v>
      </c>
      <c r="E59" s="841">
        <v>3600</v>
      </c>
      <c r="F59" s="841">
        <v>3600</v>
      </c>
      <c r="G59" s="841">
        <v>3600</v>
      </c>
      <c r="H59" s="841">
        <v>3600</v>
      </c>
      <c r="I59" s="841">
        <v>3600</v>
      </c>
      <c r="J59" s="843">
        <f t="shared" si="0"/>
        <v>3600</v>
      </c>
      <c r="K59" s="353"/>
    </row>
    <row r="60" spans="1:11" ht="29.25" customHeight="1">
      <c r="A60" s="389"/>
      <c r="B60" s="410" t="s">
        <v>682</v>
      </c>
      <c r="C60" s="409" t="s">
        <v>681</v>
      </c>
      <c r="D60" s="840">
        <v>15746</v>
      </c>
      <c r="E60" s="841">
        <v>15000</v>
      </c>
      <c r="F60" s="841">
        <v>15000</v>
      </c>
      <c r="G60" s="841">
        <v>15000</v>
      </c>
      <c r="H60" s="841">
        <v>15000</v>
      </c>
      <c r="I60" s="841">
        <v>15000</v>
      </c>
      <c r="J60" s="843">
        <f t="shared" si="0"/>
        <v>15000</v>
      </c>
      <c r="K60" s="353"/>
    </row>
    <row r="61" spans="1:11" ht="29.25" customHeight="1">
      <c r="A61" s="389"/>
      <c r="B61" s="410" t="s">
        <v>684</v>
      </c>
      <c r="C61" s="409" t="s">
        <v>681</v>
      </c>
      <c r="D61" s="840">
        <v>362</v>
      </c>
      <c r="E61" s="841">
        <v>400</v>
      </c>
      <c r="F61" s="841">
        <v>400</v>
      </c>
      <c r="G61" s="841">
        <v>400</v>
      </c>
      <c r="H61" s="841">
        <v>400</v>
      </c>
      <c r="I61" s="841">
        <v>400</v>
      </c>
      <c r="J61" s="843">
        <f t="shared" si="0"/>
        <v>400</v>
      </c>
      <c r="K61" s="353"/>
    </row>
    <row r="62" spans="1:11" ht="29.25" customHeight="1">
      <c r="A62" s="389"/>
      <c r="B62" s="410" t="s">
        <v>683</v>
      </c>
      <c r="C62" s="409" t="s">
        <v>681</v>
      </c>
      <c r="D62" s="840">
        <v>204</v>
      </c>
      <c r="E62" s="841">
        <v>230</v>
      </c>
      <c r="F62" s="841">
        <v>230</v>
      </c>
      <c r="G62" s="841">
        <v>230</v>
      </c>
      <c r="H62" s="841">
        <v>230</v>
      </c>
      <c r="I62" s="841">
        <v>230</v>
      </c>
      <c r="J62" s="843">
        <f t="shared" si="0"/>
        <v>230</v>
      </c>
      <c r="K62" s="353"/>
    </row>
    <row r="63" spans="1:11" ht="29.25" customHeight="1">
      <c r="A63" s="389"/>
      <c r="B63" s="567" t="s">
        <v>902</v>
      </c>
      <c r="C63" s="561" t="s">
        <v>6</v>
      </c>
      <c r="D63" s="861">
        <f>'[5]BM8 c'!J60</f>
        <v>82</v>
      </c>
      <c r="E63" s="841">
        <v>85</v>
      </c>
      <c r="F63" s="841">
        <v>85</v>
      </c>
      <c r="G63" s="841">
        <v>85</v>
      </c>
      <c r="H63" s="841">
        <v>85</v>
      </c>
      <c r="I63" s="841">
        <v>85</v>
      </c>
      <c r="J63" s="843">
        <f t="shared" si="0"/>
        <v>85</v>
      </c>
      <c r="K63" s="353"/>
    </row>
    <row r="64" spans="1:11" ht="29.25" customHeight="1">
      <c r="A64" s="389"/>
      <c r="B64" s="567" t="s">
        <v>903</v>
      </c>
      <c r="C64" s="561" t="s">
        <v>6</v>
      </c>
      <c r="D64" s="861">
        <f>'[5]BM8 c'!J61</f>
        <v>82</v>
      </c>
      <c r="E64" s="841">
        <v>75</v>
      </c>
      <c r="F64" s="841">
        <v>75</v>
      </c>
      <c r="G64" s="841">
        <v>75</v>
      </c>
      <c r="H64" s="841">
        <v>75</v>
      </c>
      <c r="I64" s="841">
        <v>75</v>
      </c>
      <c r="J64" s="843">
        <f t="shared" si="0"/>
        <v>75</v>
      </c>
      <c r="K64" s="353"/>
    </row>
    <row r="65" spans="1:11" ht="29.25" customHeight="1">
      <c r="A65" s="389"/>
      <c r="B65" s="567" t="s">
        <v>904</v>
      </c>
      <c r="C65" s="561" t="s">
        <v>6</v>
      </c>
      <c r="D65" s="861">
        <f>'[5]BM8 c'!J62</f>
        <v>16.7</v>
      </c>
      <c r="E65" s="862">
        <f>2/12*100</f>
        <v>16.666666666666664</v>
      </c>
      <c r="F65" s="862">
        <f>3/12*100</f>
        <v>25</v>
      </c>
      <c r="G65" s="862">
        <f>3/12*100</f>
        <v>25</v>
      </c>
      <c r="H65" s="862">
        <f>4/12*100</f>
        <v>33.33333333333333</v>
      </c>
      <c r="I65" s="862">
        <f>4/12*100</f>
        <v>33.33333333333333</v>
      </c>
      <c r="J65" s="843">
        <f t="shared" si="0"/>
        <v>26.666666666666664</v>
      </c>
      <c r="K65" s="353"/>
    </row>
    <row r="66" spans="1:11" ht="29.25" customHeight="1">
      <c r="A66" s="389"/>
      <c r="B66" s="567" t="s">
        <v>905</v>
      </c>
      <c r="C66" s="561" t="s">
        <v>6</v>
      </c>
      <c r="D66" s="861">
        <f>'[5]BM8 c'!J63</f>
        <v>82</v>
      </c>
      <c r="E66" s="862">
        <v>85</v>
      </c>
      <c r="F66" s="862">
        <v>85</v>
      </c>
      <c r="G66" s="862">
        <v>85</v>
      </c>
      <c r="H66" s="862">
        <v>85</v>
      </c>
      <c r="I66" s="862">
        <f>H66</f>
        <v>85</v>
      </c>
      <c r="J66" s="843">
        <f t="shared" si="0"/>
        <v>85</v>
      </c>
      <c r="K66" s="353"/>
    </row>
    <row r="67" spans="1:11" ht="29.25" customHeight="1">
      <c r="A67" s="389"/>
      <c r="B67" s="570" t="s">
        <v>906</v>
      </c>
      <c r="C67" s="561" t="s">
        <v>6</v>
      </c>
      <c r="D67" s="861">
        <f>'[5]BM8 c'!J64</f>
        <v>90.9090909090909</v>
      </c>
      <c r="E67" s="862">
        <f>20/22*100</f>
        <v>90.9090909090909</v>
      </c>
      <c r="F67" s="862">
        <f>20/22*100</f>
        <v>90.9090909090909</v>
      </c>
      <c r="G67" s="862">
        <f>20/22*100</f>
        <v>90.9090909090909</v>
      </c>
      <c r="H67" s="862">
        <f>20/22*100</f>
        <v>90.9090909090909</v>
      </c>
      <c r="I67" s="862">
        <f>20/22*100</f>
        <v>90.9090909090909</v>
      </c>
      <c r="J67" s="843">
        <f t="shared" si="0"/>
        <v>90.9090909090909</v>
      </c>
      <c r="K67" s="353"/>
    </row>
    <row r="68" spans="1:17" ht="29.25" customHeight="1">
      <c r="A68" s="389"/>
      <c r="B68" s="410" t="s">
        <v>685</v>
      </c>
      <c r="C68" s="409" t="s">
        <v>6</v>
      </c>
      <c r="D68" s="861">
        <f>'[5]BM8 c'!J65</f>
        <v>16.7</v>
      </c>
      <c r="E68" s="862">
        <f>E65</f>
        <v>16.666666666666664</v>
      </c>
      <c r="F68" s="862">
        <f>F65</f>
        <v>25</v>
      </c>
      <c r="G68" s="862">
        <f>G65</f>
        <v>25</v>
      </c>
      <c r="H68" s="862">
        <f>4/12*100</f>
        <v>33.33333333333333</v>
      </c>
      <c r="I68" s="862">
        <f>H68</f>
        <v>33.33333333333333</v>
      </c>
      <c r="J68" s="843">
        <f t="shared" si="0"/>
        <v>26.666666666666664</v>
      </c>
      <c r="K68" s="353"/>
      <c r="Q68" s="331">
        <f>6/13</f>
        <v>0.46153846153846156</v>
      </c>
    </row>
    <row r="69" spans="1:11" ht="29.25" customHeight="1">
      <c r="A69" s="389"/>
      <c r="B69" s="410" t="s">
        <v>686</v>
      </c>
      <c r="C69" s="409" t="s">
        <v>6</v>
      </c>
      <c r="D69" s="861">
        <f>'[5]BM8 c'!J66</f>
        <v>95</v>
      </c>
      <c r="E69" s="841">
        <v>95</v>
      </c>
      <c r="F69" s="841">
        <v>95</v>
      </c>
      <c r="G69" s="841">
        <v>96</v>
      </c>
      <c r="H69" s="841">
        <v>97</v>
      </c>
      <c r="I69" s="841">
        <v>98</v>
      </c>
      <c r="J69" s="843">
        <f t="shared" si="0"/>
        <v>96.2</v>
      </c>
      <c r="K69" s="353"/>
    </row>
    <row r="70" spans="1:11" ht="29.25" customHeight="1">
      <c r="A70" s="389"/>
      <c r="B70" s="410" t="s">
        <v>687</v>
      </c>
      <c r="C70" s="409" t="s">
        <v>6</v>
      </c>
      <c r="D70" s="861">
        <f>'[5]BM8 c'!J67</f>
        <v>95</v>
      </c>
      <c r="E70" s="841">
        <v>95</v>
      </c>
      <c r="F70" s="841">
        <v>95</v>
      </c>
      <c r="G70" s="841">
        <v>96</v>
      </c>
      <c r="H70" s="841">
        <v>97</v>
      </c>
      <c r="I70" s="841">
        <v>98</v>
      </c>
      <c r="J70" s="843">
        <f t="shared" si="0"/>
        <v>96.2</v>
      </c>
      <c r="K70" s="353"/>
    </row>
    <row r="71" spans="1:11" ht="29.25" customHeight="1">
      <c r="A71" s="389"/>
      <c r="B71" s="410" t="s">
        <v>908</v>
      </c>
      <c r="C71" s="409" t="s">
        <v>907</v>
      </c>
      <c r="D71" s="840">
        <v>1</v>
      </c>
      <c r="E71" s="841">
        <v>2</v>
      </c>
      <c r="F71" s="841">
        <v>0</v>
      </c>
      <c r="G71" s="841">
        <v>0</v>
      </c>
      <c r="H71" s="841">
        <v>0</v>
      </c>
      <c r="I71" s="841">
        <v>0</v>
      </c>
      <c r="J71" s="843">
        <v>2</v>
      </c>
      <c r="K71" s="353"/>
    </row>
    <row r="72" spans="1:21" s="329" customFormat="1" ht="31.5" customHeight="1">
      <c r="A72" s="386" t="s">
        <v>161</v>
      </c>
      <c r="B72" s="384" t="s">
        <v>269</v>
      </c>
      <c r="C72" s="383"/>
      <c r="D72" s="385"/>
      <c r="E72" s="425"/>
      <c r="F72" s="425"/>
      <c r="G72" s="425"/>
      <c r="H72" s="425"/>
      <c r="I72" s="425"/>
      <c r="J72" s="843">
        <f t="shared" si="0"/>
        <v>0</v>
      </c>
      <c r="K72" s="369"/>
      <c r="L72" s="369"/>
      <c r="M72" s="369"/>
      <c r="N72" s="369"/>
      <c r="O72" s="369"/>
      <c r="P72" s="369"/>
      <c r="Q72" s="1801"/>
      <c r="R72" s="1801"/>
      <c r="S72" s="1801"/>
      <c r="T72" s="1801"/>
      <c r="U72" s="1801"/>
    </row>
    <row r="73" spans="1:21" ht="38.25" customHeight="1">
      <c r="A73" s="389">
        <v>1</v>
      </c>
      <c r="B73" s="526" t="s">
        <v>961</v>
      </c>
      <c r="C73" s="409" t="s">
        <v>262</v>
      </c>
      <c r="D73" s="861">
        <v>18</v>
      </c>
      <c r="E73" s="415">
        <v>19</v>
      </c>
      <c r="F73" s="415">
        <v>20</v>
      </c>
      <c r="G73" s="415">
        <v>20.3</v>
      </c>
      <c r="H73" s="415">
        <v>20.5</v>
      </c>
      <c r="I73" s="415">
        <v>20.8</v>
      </c>
      <c r="J73" s="843">
        <f t="shared" si="0"/>
        <v>20.119999999999997</v>
      </c>
      <c r="K73" s="370"/>
      <c r="L73" s="353"/>
      <c r="M73" s="353"/>
      <c r="N73" s="353"/>
      <c r="O73" s="353"/>
      <c r="P73" s="353"/>
      <c r="Q73" s="353"/>
      <c r="R73" s="353"/>
      <c r="S73" s="353"/>
      <c r="T73" s="353"/>
      <c r="U73" s="353"/>
    </row>
    <row r="74" spans="1:21" ht="29.25" customHeight="1">
      <c r="A74" s="389"/>
      <c r="B74" s="527" t="s">
        <v>379</v>
      </c>
      <c r="C74" s="394" t="s">
        <v>262</v>
      </c>
      <c r="D74" s="861">
        <f>'[5]BM8 c'!J70</f>
        <v>12.5</v>
      </c>
      <c r="E74" s="415">
        <f>E73</f>
        <v>19</v>
      </c>
      <c r="F74" s="415">
        <f>F73</f>
        <v>20</v>
      </c>
      <c r="G74" s="415">
        <f>G73</f>
        <v>20.3</v>
      </c>
      <c r="H74" s="415">
        <f>H73</f>
        <v>20.5</v>
      </c>
      <c r="I74" s="415">
        <f>I73</f>
        <v>20.8</v>
      </c>
      <c r="J74" s="843">
        <f t="shared" si="0"/>
        <v>20.119999999999997</v>
      </c>
      <c r="K74" s="370"/>
      <c r="L74" s="353"/>
      <c r="M74" s="353"/>
      <c r="N74" s="353"/>
      <c r="O74" s="353"/>
      <c r="P74" s="353"/>
      <c r="Q74" s="353"/>
      <c r="R74" s="353"/>
      <c r="S74" s="353"/>
      <c r="T74" s="353"/>
      <c r="U74" s="353"/>
    </row>
    <row r="75" spans="1:21" ht="29.25" customHeight="1" hidden="1">
      <c r="A75" s="389"/>
      <c r="B75" s="527" t="s">
        <v>380</v>
      </c>
      <c r="C75" s="394" t="s">
        <v>262</v>
      </c>
      <c r="D75" s="861"/>
      <c r="E75" s="415"/>
      <c r="F75" s="523"/>
      <c r="G75" s="523"/>
      <c r="H75" s="523"/>
      <c r="I75" s="523"/>
      <c r="J75" s="843">
        <f>SUM(E75:I75)/5</f>
        <v>0</v>
      </c>
      <c r="K75" s="370"/>
      <c r="L75" s="353"/>
      <c r="M75" s="353"/>
      <c r="N75" s="353"/>
      <c r="O75" s="353"/>
      <c r="P75" s="353"/>
      <c r="Q75" s="353"/>
      <c r="R75" s="353"/>
      <c r="S75" s="353"/>
      <c r="T75" s="353"/>
      <c r="U75" s="353"/>
    </row>
    <row r="76" spans="1:21" ht="30" customHeight="1">
      <c r="A76" s="389">
        <v>2</v>
      </c>
      <c r="B76" s="526" t="s">
        <v>255</v>
      </c>
      <c r="C76" s="409" t="s">
        <v>263</v>
      </c>
      <c r="D76" s="861">
        <f>'[5]BM8 c'!$J$73</f>
        <v>5.1</v>
      </c>
      <c r="E76" s="415">
        <v>5.3</v>
      </c>
      <c r="F76" s="415">
        <v>5.3</v>
      </c>
      <c r="G76" s="415">
        <v>5.4</v>
      </c>
      <c r="H76" s="415">
        <v>5.5</v>
      </c>
      <c r="I76" s="415">
        <v>5.6</v>
      </c>
      <c r="J76" s="843">
        <f>SUM(E76:I76)/5</f>
        <v>5.42</v>
      </c>
      <c r="K76" s="370"/>
      <c r="L76" s="353"/>
      <c r="M76" s="353"/>
      <c r="N76" s="353"/>
      <c r="O76" s="353"/>
      <c r="P76" s="353"/>
      <c r="Q76" s="353"/>
      <c r="R76" s="353"/>
      <c r="S76" s="353"/>
      <c r="T76" s="353"/>
      <c r="U76" s="353"/>
    </row>
    <row r="77" spans="1:21" ht="38.25" customHeight="1">
      <c r="A77" s="389">
        <v>3</v>
      </c>
      <c r="B77" s="526" t="s">
        <v>378</v>
      </c>
      <c r="C77" s="409" t="s">
        <v>264</v>
      </c>
      <c r="D77" s="861" t="str">
        <f>'[5]BM8 c'!J74</f>
        <v>&lt;7</v>
      </c>
      <c r="E77" s="388" t="s">
        <v>895</v>
      </c>
      <c r="F77" s="388" t="s">
        <v>895</v>
      </c>
      <c r="G77" s="388" t="s">
        <v>895</v>
      </c>
      <c r="H77" s="388" t="s">
        <v>895</v>
      </c>
      <c r="I77" s="388" t="s">
        <v>895</v>
      </c>
      <c r="J77" s="843" t="str">
        <f aca="true" t="shared" si="2" ref="J77:J84">I77</f>
        <v>&lt;7</v>
      </c>
      <c r="K77" s="370"/>
      <c r="L77" s="353"/>
      <c r="M77" s="353"/>
      <c r="N77" s="353"/>
      <c r="O77" s="353"/>
      <c r="P77" s="353"/>
      <c r="Q77" s="353"/>
      <c r="R77" s="353"/>
      <c r="S77" s="353"/>
      <c r="T77" s="353"/>
      <c r="U77" s="353"/>
    </row>
    <row r="78" spans="1:21" ht="33" customHeight="1">
      <c r="A78" s="389">
        <v>4</v>
      </c>
      <c r="B78" s="526" t="s">
        <v>256</v>
      </c>
      <c r="C78" s="409" t="s">
        <v>347</v>
      </c>
      <c r="D78" s="861" t="str">
        <f>'[5]BM8 c'!J75</f>
        <v>&lt;22.5</v>
      </c>
      <c r="E78" s="388" t="s">
        <v>896</v>
      </c>
      <c r="F78" s="388" t="s">
        <v>896</v>
      </c>
      <c r="G78" s="388" t="s">
        <v>896</v>
      </c>
      <c r="H78" s="388" t="s">
        <v>896</v>
      </c>
      <c r="I78" s="388" t="s">
        <v>896</v>
      </c>
      <c r="J78" s="843" t="str">
        <f t="shared" si="2"/>
        <v>&lt;22.5</v>
      </c>
      <c r="K78" s="370"/>
      <c r="L78" s="353"/>
      <c r="M78" s="353"/>
      <c r="N78" s="353"/>
      <c r="O78" s="353"/>
      <c r="P78" s="353"/>
      <c r="Q78" s="353"/>
      <c r="R78" s="353"/>
      <c r="S78" s="353"/>
      <c r="T78" s="353"/>
      <c r="U78" s="353"/>
    </row>
    <row r="79" spans="1:21" ht="33" customHeight="1">
      <c r="A79" s="389">
        <v>5</v>
      </c>
      <c r="B79" s="526" t="s">
        <v>257</v>
      </c>
      <c r="C79" s="409" t="s">
        <v>347</v>
      </c>
      <c r="D79" s="861" t="str">
        <f>'[5]BM8 c'!J76</f>
        <v>&lt;27.8</v>
      </c>
      <c r="E79" s="388" t="s">
        <v>897</v>
      </c>
      <c r="F79" s="388" t="s">
        <v>897</v>
      </c>
      <c r="G79" s="388" t="s">
        <v>897</v>
      </c>
      <c r="H79" s="388" t="s">
        <v>897</v>
      </c>
      <c r="I79" s="388" t="s">
        <v>897</v>
      </c>
      <c r="J79" s="843" t="str">
        <f t="shared" si="2"/>
        <v>&lt;27.8</v>
      </c>
      <c r="K79" s="370"/>
      <c r="L79" s="353"/>
      <c r="M79" s="353"/>
      <c r="N79" s="353"/>
      <c r="O79" s="353"/>
      <c r="P79" s="353"/>
      <c r="Q79" s="353"/>
      <c r="R79" s="353"/>
      <c r="S79" s="353"/>
      <c r="T79" s="353"/>
      <c r="U79" s="353"/>
    </row>
    <row r="80" spans="1:21" ht="45" customHeight="1">
      <c r="A80" s="389">
        <v>6</v>
      </c>
      <c r="B80" s="526" t="s">
        <v>258</v>
      </c>
      <c r="C80" s="409" t="s">
        <v>213</v>
      </c>
      <c r="D80" s="861">
        <f>'[5]BM8 c'!J77</f>
        <v>21</v>
      </c>
      <c r="E80" s="415">
        <v>20.8</v>
      </c>
      <c r="F80" s="415">
        <v>20.3</v>
      </c>
      <c r="G80" s="415">
        <v>19.5</v>
      </c>
      <c r="H80" s="415">
        <v>19</v>
      </c>
      <c r="I80" s="415">
        <v>18</v>
      </c>
      <c r="J80" s="843">
        <f t="shared" si="2"/>
        <v>18</v>
      </c>
      <c r="K80" s="370"/>
      <c r="L80" s="353"/>
      <c r="M80" s="353"/>
      <c r="N80" s="353"/>
      <c r="O80" s="353"/>
      <c r="P80" s="353"/>
      <c r="Q80" s="353"/>
      <c r="R80" s="353"/>
      <c r="S80" s="353"/>
      <c r="T80" s="353"/>
      <c r="U80" s="353"/>
    </row>
    <row r="81" spans="1:21" s="972" customFormat="1" ht="38.25" customHeight="1">
      <c r="A81" s="951">
        <v>7</v>
      </c>
      <c r="B81" s="969" t="s">
        <v>381</v>
      </c>
      <c r="C81" s="970" t="s">
        <v>213</v>
      </c>
      <c r="D81" s="968">
        <f>'[5]BM8 c'!J78</f>
        <v>25</v>
      </c>
      <c r="E81" s="930">
        <v>33.3</v>
      </c>
      <c r="F81" s="930">
        <v>41.6</v>
      </c>
      <c r="G81" s="930">
        <v>58.3</v>
      </c>
      <c r="H81" s="1075">
        <v>66</v>
      </c>
      <c r="I81" s="1075">
        <v>75</v>
      </c>
      <c r="J81" s="945">
        <f t="shared" si="2"/>
        <v>75</v>
      </c>
      <c r="K81" s="974"/>
      <c r="L81" s="974"/>
      <c r="M81" s="974"/>
      <c r="N81" s="974"/>
      <c r="O81" s="974"/>
      <c r="P81" s="974"/>
      <c r="Q81" s="974"/>
      <c r="R81" s="974"/>
      <c r="S81" s="974"/>
      <c r="T81" s="974"/>
      <c r="U81" s="974"/>
    </row>
    <row r="82" spans="1:21" s="972" customFormat="1" ht="38.25" customHeight="1">
      <c r="A82" s="951">
        <v>8</v>
      </c>
      <c r="B82" s="969" t="s">
        <v>259</v>
      </c>
      <c r="C82" s="970" t="s">
        <v>213</v>
      </c>
      <c r="D82" s="968">
        <f>'[5]BM8 c'!J79</f>
        <v>91</v>
      </c>
      <c r="E82" s="930" t="s">
        <v>898</v>
      </c>
      <c r="F82" s="930" t="s">
        <v>898</v>
      </c>
      <c r="G82" s="930" t="s">
        <v>898</v>
      </c>
      <c r="H82" s="930" t="s">
        <v>898</v>
      </c>
      <c r="I82" s="930" t="s">
        <v>898</v>
      </c>
      <c r="J82" s="843" t="str">
        <f t="shared" si="2"/>
        <v>&gt;90</v>
      </c>
      <c r="K82" s="974"/>
      <c r="L82" s="974"/>
      <c r="M82" s="974"/>
      <c r="N82" s="974"/>
      <c r="O82" s="974"/>
      <c r="P82" s="974"/>
      <c r="Q82" s="975"/>
      <c r="R82" s="975"/>
      <c r="S82" s="975"/>
      <c r="T82" s="975"/>
      <c r="U82" s="975"/>
    </row>
    <row r="83" spans="1:21" ht="37.5" customHeight="1">
      <c r="A83" s="389">
        <v>9</v>
      </c>
      <c r="B83" s="410" t="s">
        <v>962</v>
      </c>
      <c r="C83" s="409" t="s">
        <v>213</v>
      </c>
      <c r="D83" s="861">
        <f>'[5]BM8 c'!J80</f>
        <v>66.6</v>
      </c>
      <c r="E83" s="415">
        <v>83.3</v>
      </c>
      <c r="F83" s="415">
        <v>100</v>
      </c>
      <c r="G83" s="415">
        <v>100</v>
      </c>
      <c r="H83" s="415">
        <v>100</v>
      </c>
      <c r="I83" s="415">
        <v>100</v>
      </c>
      <c r="J83" s="843">
        <f t="shared" si="2"/>
        <v>100</v>
      </c>
      <c r="K83" s="353"/>
      <c r="L83" s="353"/>
      <c r="M83" s="353"/>
      <c r="N83" s="353"/>
      <c r="O83" s="353"/>
      <c r="P83" s="353"/>
      <c r="Q83" s="353"/>
      <c r="R83" s="353"/>
      <c r="S83" s="353"/>
      <c r="T83" s="353"/>
      <c r="U83" s="353"/>
    </row>
    <row r="84" spans="1:21" ht="42" customHeight="1">
      <c r="A84" s="389">
        <v>10</v>
      </c>
      <c r="B84" s="410" t="s">
        <v>334</v>
      </c>
      <c r="C84" s="409" t="s">
        <v>213</v>
      </c>
      <c r="D84" s="861">
        <f>'[5]BM8 c'!J81</f>
        <v>71.2</v>
      </c>
      <c r="E84" s="415">
        <v>72</v>
      </c>
      <c r="F84" s="415">
        <v>73.8</v>
      </c>
      <c r="G84" s="415">
        <v>75</v>
      </c>
      <c r="H84" s="415">
        <v>77</v>
      </c>
      <c r="I84" s="415">
        <v>80</v>
      </c>
      <c r="J84" s="843">
        <f t="shared" si="2"/>
        <v>80</v>
      </c>
      <c r="K84" s="353"/>
      <c r="L84" s="353"/>
      <c r="M84" s="353"/>
      <c r="N84" s="353"/>
      <c r="O84" s="353"/>
      <c r="P84" s="353"/>
      <c r="Q84" s="353"/>
      <c r="R84" s="353"/>
      <c r="S84" s="353"/>
      <c r="T84" s="353"/>
      <c r="U84" s="353"/>
    </row>
    <row r="85" spans="1:10" ht="16.5">
      <c r="A85" s="382"/>
      <c r="B85" s="395"/>
      <c r="C85" s="396"/>
      <c r="D85" s="396"/>
      <c r="E85" s="397"/>
      <c r="F85" s="397"/>
      <c r="G85" s="397"/>
      <c r="H85" s="397"/>
      <c r="I85" s="397"/>
      <c r="J85" s="397"/>
    </row>
    <row r="86" spans="1:10" ht="16.5">
      <c r="A86" s="382"/>
      <c r="B86" s="1770" t="s">
        <v>354</v>
      </c>
      <c r="C86" s="1770"/>
      <c r="D86" s="1770"/>
      <c r="E86" s="397"/>
      <c r="F86" s="397"/>
      <c r="G86" s="397"/>
      <c r="H86" s="397"/>
      <c r="I86" s="397"/>
      <c r="J86" s="397"/>
    </row>
    <row r="87" spans="1:10" ht="16.5">
      <c r="A87" s="382"/>
      <c r="B87" s="395"/>
      <c r="C87" s="396"/>
      <c r="D87" s="396"/>
      <c r="E87" s="397"/>
      <c r="F87" s="397"/>
      <c r="G87" s="397"/>
      <c r="H87" s="397"/>
      <c r="I87" s="397"/>
      <c r="J87" s="397"/>
    </row>
    <row r="88" spans="1:10" ht="16.5">
      <c r="A88" s="382"/>
      <c r="B88" s="395"/>
      <c r="C88" s="396"/>
      <c r="D88" s="396"/>
      <c r="E88" s="397"/>
      <c r="F88" s="397"/>
      <c r="G88" s="397"/>
      <c r="H88" s="397"/>
      <c r="I88" s="397"/>
      <c r="J88" s="397"/>
    </row>
    <row r="89" spans="1:10" ht="16.5">
      <c r="A89" s="382"/>
      <c r="B89" s="395"/>
      <c r="C89" s="396"/>
      <c r="D89" s="396"/>
      <c r="E89" s="1134"/>
      <c r="F89" s="397"/>
      <c r="G89" s="397"/>
      <c r="H89" s="397"/>
      <c r="I89" s="397"/>
      <c r="J89" s="397"/>
    </row>
    <row r="90" spans="1:10" ht="16.5">
      <c r="A90" s="382"/>
      <c r="B90" s="395"/>
      <c r="C90" s="396"/>
      <c r="D90" s="396"/>
      <c r="E90" s="397"/>
      <c r="F90" s="397"/>
      <c r="G90" s="397"/>
      <c r="H90" s="397"/>
      <c r="I90" s="397"/>
      <c r="J90" s="397"/>
    </row>
    <row r="91" spans="1:10" ht="16.5">
      <c r="A91" s="382"/>
      <c r="B91" s="395"/>
      <c r="C91" s="396"/>
      <c r="D91" s="396"/>
      <c r="E91" s="397"/>
      <c r="F91" s="397"/>
      <c r="G91" s="397"/>
      <c r="H91" s="397"/>
      <c r="I91" s="397"/>
      <c r="J91" s="397"/>
    </row>
    <row r="92" spans="1:10" ht="16.5">
      <c r="A92" s="382"/>
      <c r="B92" s="395"/>
      <c r="C92" s="396"/>
      <c r="D92" s="396"/>
      <c r="E92" s="397"/>
      <c r="F92" s="397"/>
      <c r="G92" s="397"/>
      <c r="H92" s="397"/>
      <c r="I92" s="397"/>
      <c r="J92" s="397"/>
    </row>
    <row r="93" spans="1:10" ht="16.5">
      <c r="A93" s="382"/>
      <c r="B93" s="395"/>
      <c r="C93" s="396"/>
      <c r="D93" s="396"/>
      <c r="E93" s="397"/>
      <c r="F93" s="397"/>
      <c r="G93" s="397"/>
      <c r="H93" s="397"/>
      <c r="I93" s="397"/>
      <c r="J93" s="397"/>
    </row>
    <row r="94" spans="1:10" ht="16.5">
      <c r="A94" s="382"/>
      <c r="B94" s="395"/>
      <c r="C94" s="396"/>
      <c r="D94" s="396"/>
      <c r="E94" s="397"/>
      <c r="F94" s="397"/>
      <c r="G94" s="397"/>
      <c r="H94" s="397"/>
      <c r="I94" s="397"/>
      <c r="J94" s="397"/>
    </row>
    <row r="95" spans="1:10" ht="16.5">
      <c r="A95" s="382"/>
      <c r="B95" s="395"/>
      <c r="C95" s="396"/>
      <c r="D95" s="396"/>
      <c r="E95" s="397"/>
      <c r="F95" s="397"/>
      <c r="G95" s="397"/>
      <c r="H95" s="397"/>
      <c r="I95" s="397"/>
      <c r="J95" s="397"/>
    </row>
    <row r="96" spans="1:10" ht="16.5">
      <c r="A96" s="382"/>
      <c r="B96" s="395"/>
      <c r="C96" s="396"/>
      <c r="D96" s="396"/>
      <c r="E96" s="397"/>
      <c r="F96" s="397"/>
      <c r="G96" s="397"/>
      <c r="H96" s="397"/>
      <c r="I96" s="397"/>
      <c r="J96" s="397"/>
    </row>
    <row r="97" spans="1:10" ht="16.5">
      <c r="A97" s="382"/>
      <c r="B97" s="395"/>
      <c r="C97" s="396"/>
      <c r="D97" s="396"/>
      <c r="E97" s="397"/>
      <c r="F97" s="397"/>
      <c r="G97" s="397"/>
      <c r="H97" s="397"/>
      <c r="I97" s="397"/>
      <c r="J97" s="397"/>
    </row>
    <row r="98" spans="1:10" ht="16.5">
      <c r="A98" s="382"/>
      <c r="B98" s="395"/>
      <c r="C98" s="396"/>
      <c r="D98" s="396"/>
      <c r="E98" s="397"/>
      <c r="F98" s="397"/>
      <c r="G98" s="397"/>
      <c r="H98" s="397"/>
      <c r="I98" s="397"/>
      <c r="J98" s="397"/>
    </row>
    <row r="99" spans="1:10" ht="16.5">
      <c r="A99" s="382"/>
      <c r="B99" s="395"/>
      <c r="C99" s="396"/>
      <c r="D99" s="396"/>
      <c r="E99" s="397"/>
      <c r="F99" s="397"/>
      <c r="G99" s="397"/>
      <c r="H99" s="397"/>
      <c r="I99" s="397"/>
      <c r="J99" s="397"/>
    </row>
    <row r="100" spans="1:10" ht="16.5">
      <c r="A100" s="382"/>
      <c r="B100" s="395"/>
      <c r="C100" s="396"/>
      <c r="D100" s="396"/>
      <c r="E100" s="397"/>
      <c r="F100" s="397"/>
      <c r="G100" s="397"/>
      <c r="H100" s="397"/>
      <c r="I100" s="397"/>
      <c r="J100" s="397"/>
    </row>
    <row r="101" spans="1:10" ht="16.5">
      <c r="A101" s="382"/>
      <c r="B101" s="395"/>
      <c r="C101" s="396"/>
      <c r="D101" s="396"/>
      <c r="E101" s="397"/>
      <c r="F101" s="397"/>
      <c r="G101" s="397"/>
      <c r="H101" s="397"/>
      <c r="I101" s="397"/>
      <c r="J101" s="397"/>
    </row>
    <row r="102" spans="1:10" ht="16.5">
      <c r="A102" s="382"/>
      <c r="B102" s="395"/>
      <c r="C102" s="396"/>
      <c r="D102" s="396"/>
      <c r="E102" s="397"/>
      <c r="F102" s="397"/>
      <c r="G102" s="397"/>
      <c r="H102" s="397"/>
      <c r="I102" s="397"/>
      <c r="J102" s="397"/>
    </row>
    <row r="103" spans="1:10" ht="16.5">
      <c r="A103" s="382"/>
      <c r="B103" s="395"/>
      <c r="C103" s="396"/>
      <c r="D103" s="396"/>
      <c r="E103" s="397"/>
      <c r="F103" s="397"/>
      <c r="G103" s="397"/>
      <c r="H103" s="397"/>
      <c r="I103" s="397"/>
      <c r="J103" s="397"/>
    </row>
    <row r="104" spans="1:10" ht="16.5">
      <c r="A104" s="382"/>
      <c r="B104" s="395"/>
      <c r="C104" s="396"/>
      <c r="D104" s="396"/>
      <c r="E104" s="397"/>
      <c r="F104" s="397"/>
      <c r="G104" s="397"/>
      <c r="H104" s="397"/>
      <c r="I104" s="397"/>
      <c r="J104" s="397"/>
    </row>
    <row r="105" spans="1:10" ht="16.5">
      <c r="A105" s="382"/>
      <c r="B105" s="395"/>
      <c r="C105" s="396"/>
      <c r="D105" s="396"/>
      <c r="E105" s="397"/>
      <c r="F105" s="397"/>
      <c r="G105" s="397"/>
      <c r="H105" s="397"/>
      <c r="I105" s="397"/>
      <c r="J105" s="397"/>
    </row>
    <row r="106" spans="1:10" ht="16.5">
      <c r="A106" s="382"/>
      <c r="B106" s="395"/>
      <c r="C106" s="396"/>
      <c r="D106" s="396"/>
      <c r="E106" s="397"/>
      <c r="F106" s="397"/>
      <c r="G106" s="397"/>
      <c r="H106" s="397"/>
      <c r="I106" s="397"/>
      <c r="J106" s="397"/>
    </row>
    <row r="107" spans="1:10" ht="16.5">
      <c r="A107" s="382"/>
      <c r="B107" s="395"/>
      <c r="C107" s="396"/>
      <c r="D107" s="396"/>
      <c r="E107" s="397"/>
      <c r="F107" s="397"/>
      <c r="G107" s="397"/>
      <c r="H107" s="397"/>
      <c r="I107" s="397"/>
      <c r="J107" s="397"/>
    </row>
    <row r="108" spans="1:10" ht="16.5">
      <c r="A108" s="382"/>
      <c r="B108" s="395"/>
      <c r="C108" s="396"/>
      <c r="D108" s="396"/>
      <c r="E108" s="397"/>
      <c r="F108" s="397"/>
      <c r="G108" s="397"/>
      <c r="H108" s="397"/>
      <c r="I108" s="397"/>
      <c r="J108" s="397"/>
    </row>
    <row r="109" spans="1:10" ht="16.5">
      <c r="A109" s="382"/>
      <c r="B109" s="395"/>
      <c r="C109" s="396"/>
      <c r="D109" s="396"/>
      <c r="E109" s="397"/>
      <c r="F109" s="397"/>
      <c r="G109" s="397"/>
      <c r="H109" s="397"/>
      <c r="I109" s="397"/>
      <c r="J109" s="397"/>
    </row>
    <row r="110" spans="1:10" ht="16.5">
      <c r="A110" s="382"/>
      <c r="B110" s="395"/>
      <c r="C110" s="396"/>
      <c r="D110" s="396"/>
      <c r="E110" s="397"/>
      <c r="F110" s="397"/>
      <c r="G110" s="397"/>
      <c r="H110" s="397"/>
      <c r="I110" s="397"/>
      <c r="J110" s="397"/>
    </row>
    <row r="111" spans="1:10" ht="16.5">
      <c r="A111" s="382"/>
      <c r="B111" s="395"/>
      <c r="C111" s="396"/>
      <c r="D111" s="396"/>
      <c r="E111" s="397"/>
      <c r="F111" s="397"/>
      <c r="G111" s="397"/>
      <c r="H111" s="397"/>
      <c r="I111" s="397"/>
      <c r="J111" s="397"/>
    </row>
    <row r="112" spans="1:10" ht="16.5">
      <c r="A112" s="382"/>
      <c r="B112" s="395"/>
      <c r="C112" s="396"/>
      <c r="D112" s="396"/>
      <c r="E112" s="397"/>
      <c r="F112" s="397"/>
      <c r="G112" s="397"/>
      <c r="H112" s="397"/>
      <c r="I112" s="397"/>
      <c r="J112" s="397"/>
    </row>
    <row r="113" spans="1:10" ht="16.5">
      <c r="A113" s="382"/>
      <c r="B113" s="395"/>
      <c r="C113" s="396"/>
      <c r="D113" s="396"/>
      <c r="E113" s="397"/>
      <c r="F113" s="397"/>
      <c r="G113" s="397"/>
      <c r="H113" s="397"/>
      <c r="I113" s="397"/>
      <c r="J113" s="397"/>
    </row>
    <row r="114" spans="1:10" ht="16.5">
      <c r="A114" s="382"/>
      <c r="B114" s="395"/>
      <c r="C114" s="396"/>
      <c r="D114" s="396"/>
      <c r="E114" s="397"/>
      <c r="F114" s="397"/>
      <c r="G114" s="397"/>
      <c r="H114" s="397"/>
      <c r="I114" s="397"/>
      <c r="J114" s="397"/>
    </row>
    <row r="115" spans="1:10" ht="16.5">
      <c r="A115" s="382"/>
      <c r="B115" s="395"/>
      <c r="C115" s="396"/>
      <c r="D115" s="396"/>
      <c r="E115" s="397"/>
      <c r="F115" s="397"/>
      <c r="G115" s="397"/>
      <c r="H115" s="397"/>
      <c r="I115" s="397"/>
      <c r="J115" s="397"/>
    </row>
    <row r="116" spans="1:10" ht="16.5">
      <c r="A116" s="382"/>
      <c r="B116" s="395"/>
      <c r="C116" s="396"/>
      <c r="D116" s="396"/>
      <c r="E116" s="397"/>
      <c r="F116" s="397"/>
      <c r="G116" s="397"/>
      <c r="H116" s="397"/>
      <c r="I116" s="397"/>
      <c r="J116" s="397"/>
    </row>
    <row r="117" spans="1:10" ht="16.5">
      <c r="A117" s="382"/>
      <c r="B117" s="395"/>
      <c r="C117" s="396"/>
      <c r="D117" s="396"/>
      <c r="E117" s="397"/>
      <c r="F117" s="397"/>
      <c r="G117" s="397"/>
      <c r="H117" s="397"/>
      <c r="I117" s="397"/>
      <c r="J117" s="397"/>
    </row>
    <row r="118" spans="1:10" ht="16.5">
      <c r="A118" s="382"/>
      <c r="B118" s="395"/>
      <c r="C118" s="396"/>
      <c r="D118" s="396"/>
      <c r="E118" s="397"/>
      <c r="F118" s="397"/>
      <c r="G118" s="397"/>
      <c r="H118" s="397"/>
      <c r="I118" s="397"/>
      <c r="J118" s="397"/>
    </row>
    <row r="119" spans="1:10" ht="16.5">
      <c r="A119" s="382"/>
      <c r="B119" s="395"/>
      <c r="C119" s="396"/>
      <c r="D119" s="396"/>
      <c r="E119" s="397"/>
      <c r="F119" s="397"/>
      <c r="G119" s="397"/>
      <c r="H119" s="397"/>
      <c r="I119" s="397"/>
      <c r="J119" s="397"/>
    </row>
    <row r="120" spans="1:10" ht="16.5">
      <c r="A120" s="382"/>
      <c r="B120" s="395"/>
      <c r="C120" s="396"/>
      <c r="D120" s="396"/>
      <c r="E120" s="397"/>
      <c r="F120" s="397"/>
      <c r="G120" s="397"/>
      <c r="H120" s="397"/>
      <c r="I120" s="397"/>
      <c r="J120" s="397"/>
    </row>
    <row r="121" spans="1:10" ht="16.5">
      <c r="A121" s="382"/>
      <c r="B121" s="395"/>
      <c r="C121" s="396"/>
      <c r="D121" s="396"/>
      <c r="E121" s="397"/>
      <c r="F121" s="397"/>
      <c r="G121" s="397"/>
      <c r="H121" s="397"/>
      <c r="I121" s="397"/>
      <c r="J121" s="397"/>
    </row>
    <row r="122" spans="1:10" ht="16.5">
      <c r="A122" s="382"/>
      <c r="B122" s="395"/>
      <c r="C122" s="396"/>
      <c r="D122" s="396"/>
      <c r="E122" s="397"/>
      <c r="F122" s="397"/>
      <c r="G122" s="397"/>
      <c r="H122" s="397"/>
      <c r="I122" s="397"/>
      <c r="J122" s="397"/>
    </row>
    <row r="123" spans="1:10" ht="16.5">
      <c r="A123" s="382"/>
      <c r="B123" s="395"/>
      <c r="C123" s="396"/>
      <c r="D123" s="396"/>
      <c r="E123" s="397"/>
      <c r="F123" s="397"/>
      <c r="G123" s="397"/>
      <c r="H123" s="397"/>
      <c r="I123" s="397"/>
      <c r="J123" s="397"/>
    </row>
    <row r="124" spans="1:10" ht="16.5">
      <c r="A124" s="382"/>
      <c r="B124" s="395"/>
      <c r="C124" s="396"/>
      <c r="D124" s="396"/>
      <c r="E124" s="397"/>
      <c r="F124" s="397"/>
      <c r="G124" s="397"/>
      <c r="H124" s="397"/>
      <c r="I124" s="397"/>
      <c r="J124" s="397"/>
    </row>
    <row r="125" spans="1:10" ht="16.5">
      <c r="A125" s="382"/>
      <c r="B125" s="395"/>
      <c r="C125" s="396"/>
      <c r="D125" s="396"/>
      <c r="E125" s="397"/>
      <c r="F125" s="397"/>
      <c r="G125" s="397"/>
      <c r="H125" s="397"/>
      <c r="I125" s="397"/>
      <c r="J125" s="397"/>
    </row>
    <row r="126" spans="1:10" ht="16.5">
      <c r="A126" s="382"/>
      <c r="B126" s="395"/>
      <c r="C126" s="396"/>
      <c r="D126" s="396"/>
      <c r="E126" s="397"/>
      <c r="F126" s="397"/>
      <c r="G126" s="397"/>
      <c r="H126" s="397"/>
      <c r="I126" s="397"/>
      <c r="J126" s="397"/>
    </row>
    <row r="127" spans="1:10" ht="16.5">
      <c r="A127" s="382"/>
      <c r="B127" s="395"/>
      <c r="C127" s="396"/>
      <c r="D127" s="396"/>
      <c r="E127" s="397"/>
      <c r="F127" s="397"/>
      <c r="G127" s="397"/>
      <c r="H127" s="397"/>
      <c r="I127" s="397"/>
      <c r="J127" s="397"/>
    </row>
    <row r="128" spans="1:10" ht="16.5">
      <c r="A128" s="382"/>
      <c r="B128" s="395"/>
      <c r="C128" s="396"/>
      <c r="D128" s="396"/>
      <c r="E128" s="397"/>
      <c r="F128" s="397"/>
      <c r="G128" s="397"/>
      <c r="H128" s="397"/>
      <c r="I128" s="397"/>
      <c r="J128" s="397"/>
    </row>
    <row r="129" spans="1:10" ht="16.5">
      <c r="A129" s="382"/>
      <c r="B129" s="395"/>
      <c r="C129" s="396"/>
      <c r="D129" s="396"/>
      <c r="E129" s="397"/>
      <c r="F129" s="397"/>
      <c r="G129" s="397"/>
      <c r="H129" s="397"/>
      <c r="I129" s="397"/>
      <c r="J129" s="397"/>
    </row>
    <row r="130" spans="1:10" ht="16.5">
      <c r="A130" s="382"/>
      <c r="B130" s="395"/>
      <c r="C130" s="396"/>
      <c r="D130" s="396"/>
      <c r="E130" s="397"/>
      <c r="F130" s="397"/>
      <c r="G130" s="397"/>
      <c r="H130" s="397"/>
      <c r="I130" s="397"/>
      <c r="J130" s="397"/>
    </row>
    <row r="131" spans="1:10" ht="16.5">
      <c r="A131" s="382"/>
      <c r="B131" s="395"/>
      <c r="C131" s="396"/>
      <c r="D131" s="396"/>
      <c r="E131" s="397"/>
      <c r="F131" s="397"/>
      <c r="G131" s="397"/>
      <c r="H131" s="397"/>
      <c r="I131" s="397"/>
      <c r="J131" s="397"/>
    </row>
    <row r="132" spans="1:10" ht="16.5">
      <c r="A132" s="382"/>
      <c r="B132" s="395"/>
      <c r="C132" s="396"/>
      <c r="D132" s="396"/>
      <c r="E132" s="397"/>
      <c r="F132" s="397"/>
      <c r="G132" s="397"/>
      <c r="H132" s="397"/>
      <c r="I132" s="397"/>
      <c r="J132" s="397"/>
    </row>
    <row r="133" spans="1:10" ht="16.5">
      <c r="A133" s="382"/>
      <c r="B133" s="395"/>
      <c r="C133" s="396"/>
      <c r="D133" s="396"/>
      <c r="E133" s="397"/>
      <c r="F133" s="397"/>
      <c r="G133" s="397"/>
      <c r="H133" s="397"/>
      <c r="I133" s="397"/>
      <c r="J133" s="397"/>
    </row>
    <row r="134" spans="1:10" ht="16.5">
      <c r="A134" s="382"/>
      <c r="B134" s="395"/>
      <c r="C134" s="396"/>
      <c r="D134" s="396"/>
      <c r="E134" s="397"/>
      <c r="F134" s="397"/>
      <c r="G134" s="397"/>
      <c r="H134" s="397"/>
      <c r="I134" s="397"/>
      <c r="J134" s="397"/>
    </row>
    <row r="135" spans="1:10" ht="16.5">
      <c r="A135" s="382"/>
      <c r="B135" s="395"/>
      <c r="C135" s="396"/>
      <c r="D135" s="396"/>
      <c r="E135" s="397"/>
      <c r="F135" s="397"/>
      <c r="G135" s="397"/>
      <c r="H135" s="397"/>
      <c r="I135" s="397"/>
      <c r="J135" s="397"/>
    </row>
    <row r="136" spans="1:10" ht="16.5">
      <c r="A136" s="382"/>
      <c r="B136" s="395"/>
      <c r="C136" s="396"/>
      <c r="D136" s="396"/>
      <c r="E136" s="397"/>
      <c r="F136" s="397"/>
      <c r="G136" s="397"/>
      <c r="H136" s="397"/>
      <c r="I136" s="397"/>
      <c r="J136" s="397"/>
    </row>
    <row r="137" spans="1:10" ht="16.5">
      <c r="A137" s="382"/>
      <c r="B137" s="395"/>
      <c r="C137" s="396"/>
      <c r="D137" s="396"/>
      <c r="E137" s="397"/>
      <c r="F137" s="397"/>
      <c r="G137" s="397"/>
      <c r="H137" s="397"/>
      <c r="I137" s="397"/>
      <c r="J137" s="397"/>
    </row>
    <row r="138" spans="1:10" ht="16.5">
      <c r="A138" s="382"/>
      <c r="B138" s="395"/>
      <c r="C138" s="396"/>
      <c r="D138" s="396"/>
      <c r="E138" s="397"/>
      <c r="F138" s="397"/>
      <c r="G138" s="397"/>
      <c r="H138" s="397"/>
      <c r="I138" s="397"/>
      <c r="J138" s="397"/>
    </row>
    <row r="139" spans="1:10" ht="16.5">
      <c r="A139" s="382"/>
      <c r="B139" s="395"/>
      <c r="C139" s="396"/>
      <c r="D139" s="396"/>
      <c r="E139" s="397"/>
      <c r="F139" s="397"/>
      <c r="G139" s="397"/>
      <c r="H139" s="397"/>
      <c r="I139" s="397"/>
      <c r="J139" s="397"/>
    </row>
    <row r="140" spans="1:10" ht="16.5">
      <c r="A140" s="382"/>
      <c r="B140" s="395"/>
      <c r="C140" s="396"/>
      <c r="D140" s="396"/>
      <c r="E140" s="397"/>
      <c r="F140" s="397"/>
      <c r="G140" s="397"/>
      <c r="H140" s="397"/>
      <c r="I140" s="397"/>
      <c r="J140" s="397"/>
    </row>
    <row r="141" spans="1:10" ht="16.5">
      <c r="A141" s="382"/>
      <c r="B141" s="395"/>
      <c r="C141" s="396"/>
      <c r="D141" s="396"/>
      <c r="E141" s="397"/>
      <c r="F141" s="397"/>
      <c r="G141" s="397"/>
      <c r="H141" s="397"/>
      <c r="I141" s="397"/>
      <c r="J141" s="397"/>
    </row>
    <row r="142" spans="1:10" ht="16.5">
      <c r="A142" s="382"/>
      <c r="B142" s="395"/>
      <c r="C142" s="396"/>
      <c r="D142" s="396"/>
      <c r="E142" s="397"/>
      <c r="F142" s="397"/>
      <c r="G142" s="397"/>
      <c r="H142" s="397"/>
      <c r="I142" s="397"/>
      <c r="J142" s="397"/>
    </row>
    <row r="143" spans="1:10" ht="16.5">
      <c r="A143" s="382"/>
      <c r="B143" s="395"/>
      <c r="C143" s="396"/>
      <c r="D143" s="396"/>
      <c r="E143" s="397"/>
      <c r="F143" s="397"/>
      <c r="G143" s="397"/>
      <c r="H143" s="397"/>
      <c r="I143" s="397"/>
      <c r="J143" s="397"/>
    </row>
    <row r="144" spans="1:10" ht="16.5">
      <c r="A144" s="382"/>
      <c r="B144" s="395"/>
      <c r="C144" s="396"/>
      <c r="D144" s="396"/>
      <c r="E144" s="397"/>
      <c r="F144" s="397"/>
      <c r="G144" s="397"/>
      <c r="H144" s="397"/>
      <c r="I144" s="397"/>
      <c r="J144" s="397"/>
    </row>
    <row r="145" spans="1:10" ht="16.5">
      <c r="A145" s="382"/>
      <c r="B145" s="395"/>
      <c r="C145" s="396"/>
      <c r="D145" s="396"/>
      <c r="E145" s="397"/>
      <c r="F145" s="397"/>
      <c r="G145" s="397"/>
      <c r="H145" s="397"/>
      <c r="I145" s="397"/>
      <c r="J145" s="397"/>
    </row>
    <row r="146" spans="1:10" ht="16.5">
      <c r="A146" s="382"/>
      <c r="B146" s="395"/>
      <c r="C146" s="396"/>
      <c r="D146" s="396"/>
      <c r="E146" s="397"/>
      <c r="F146" s="397"/>
      <c r="G146" s="397"/>
      <c r="H146" s="397"/>
      <c r="I146" s="397"/>
      <c r="J146" s="397"/>
    </row>
    <row r="147" spans="1:10" ht="16.5">
      <c r="A147" s="382"/>
      <c r="B147" s="395"/>
      <c r="C147" s="396"/>
      <c r="D147" s="396"/>
      <c r="E147" s="397"/>
      <c r="F147" s="397"/>
      <c r="G147" s="397"/>
      <c r="H147" s="397"/>
      <c r="I147" s="397"/>
      <c r="J147" s="397"/>
    </row>
    <row r="148" spans="1:10" ht="16.5">
      <c r="A148" s="382"/>
      <c r="B148" s="395"/>
      <c r="C148" s="396"/>
      <c r="D148" s="396"/>
      <c r="E148" s="397"/>
      <c r="F148" s="397"/>
      <c r="G148" s="397"/>
      <c r="H148" s="397"/>
      <c r="I148" s="397"/>
      <c r="J148" s="397"/>
    </row>
    <row r="149" spans="1:10" ht="16.5">
      <c r="A149" s="382"/>
      <c r="B149" s="395"/>
      <c r="C149" s="396"/>
      <c r="D149" s="396"/>
      <c r="E149" s="397"/>
      <c r="F149" s="397"/>
      <c r="G149" s="397"/>
      <c r="H149" s="397"/>
      <c r="I149" s="397"/>
      <c r="J149" s="397"/>
    </row>
    <row r="150" spans="1:10" ht="16.5">
      <c r="A150" s="382"/>
      <c r="B150" s="395"/>
      <c r="C150" s="396"/>
      <c r="D150" s="396"/>
      <c r="E150" s="397"/>
      <c r="F150" s="397"/>
      <c r="G150" s="397"/>
      <c r="H150" s="397"/>
      <c r="I150" s="397"/>
      <c r="J150" s="397"/>
    </row>
    <row r="151" spans="1:10" ht="16.5">
      <c r="A151" s="382"/>
      <c r="B151" s="395"/>
      <c r="C151" s="396"/>
      <c r="D151" s="396"/>
      <c r="E151" s="397"/>
      <c r="F151" s="397"/>
      <c r="G151" s="397"/>
      <c r="H151" s="397"/>
      <c r="I151" s="397"/>
      <c r="J151" s="397"/>
    </row>
    <row r="152" spans="1:10" ht="16.5">
      <c r="A152" s="382"/>
      <c r="B152" s="395"/>
      <c r="C152" s="396"/>
      <c r="D152" s="396"/>
      <c r="E152" s="397"/>
      <c r="F152" s="397"/>
      <c r="G152" s="397"/>
      <c r="H152" s="397"/>
      <c r="I152" s="397"/>
      <c r="J152" s="397"/>
    </row>
    <row r="153" spans="1:10" ht="16.5">
      <c r="A153" s="382"/>
      <c r="B153" s="395"/>
      <c r="C153" s="396"/>
      <c r="D153" s="396"/>
      <c r="E153" s="397"/>
      <c r="F153" s="397"/>
      <c r="G153" s="397"/>
      <c r="H153" s="397"/>
      <c r="I153" s="397"/>
      <c r="J153" s="397"/>
    </row>
    <row r="154" spans="1:10" ht="16.5">
      <c r="A154" s="382"/>
      <c r="B154" s="395"/>
      <c r="C154" s="396"/>
      <c r="D154" s="396"/>
      <c r="E154" s="397"/>
      <c r="F154" s="397"/>
      <c r="G154" s="397"/>
      <c r="H154" s="397"/>
      <c r="I154" s="397"/>
      <c r="J154" s="397"/>
    </row>
    <row r="155" spans="1:10" ht="16.5">
      <c r="A155" s="382"/>
      <c r="B155" s="395"/>
      <c r="C155" s="396"/>
      <c r="D155" s="396"/>
      <c r="E155" s="397"/>
      <c r="F155" s="397"/>
      <c r="G155" s="397"/>
      <c r="H155" s="397"/>
      <c r="I155" s="397"/>
      <c r="J155" s="397"/>
    </row>
    <row r="156" spans="1:10" ht="16.5">
      <c r="A156" s="382"/>
      <c r="B156" s="395"/>
      <c r="C156" s="396"/>
      <c r="D156" s="396"/>
      <c r="E156" s="397"/>
      <c r="F156" s="397"/>
      <c r="G156" s="397"/>
      <c r="H156" s="397"/>
      <c r="I156" s="397"/>
      <c r="J156" s="397"/>
    </row>
    <row r="157" spans="1:10" ht="16.5">
      <c r="A157" s="382"/>
      <c r="B157" s="395"/>
      <c r="C157" s="396"/>
      <c r="D157" s="396"/>
      <c r="E157" s="397"/>
      <c r="F157" s="397"/>
      <c r="G157" s="397"/>
      <c r="H157" s="397"/>
      <c r="I157" s="397"/>
      <c r="J157" s="397"/>
    </row>
    <row r="158" spans="1:10" ht="16.5">
      <c r="A158" s="382"/>
      <c r="B158" s="395"/>
      <c r="C158" s="396"/>
      <c r="D158" s="396"/>
      <c r="E158" s="397"/>
      <c r="F158" s="397"/>
      <c r="G158" s="397"/>
      <c r="H158" s="397"/>
      <c r="I158" s="397"/>
      <c r="J158" s="397"/>
    </row>
    <row r="159" spans="1:10" ht="16.5">
      <c r="A159" s="382"/>
      <c r="B159" s="395"/>
      <c r="C159" s="396"/>
      <c r="D159" s="396"/>
      <c r="E159" s="397"/>
      <c r="F159" s="397"/>
      <c r="G159" s="397"/>
      <c r="H159" s="397"/>
      <c r="I159" s="397"/>
      <c r="J159" s="397"/>
    </row>
    <row r="160" spans="1:10" ht="16.5">
      <c r="A160" s="382"/>
      <c r="B160" s="395"/>
      <c r="C160" s="396"/>
      <c r="D160" s="396"/>
      <c r="E160" s="397"/>
      <c r="F160" s="397"/>
      <c r="G160" s="397"/>
      <c r="H160" s="397"/>
      <c r="I160" s="397"/>
      <c r="J160" s="397"/>
    </row>
    <row r="161" spans="1:10" ht="16.5">
      <c r="A161" s="382"/>
      <c r="B161" s="395"/>
      <c r="C161" s="396"/>
      <c r="D161" s="396"/>
      <c r="E161" s="397"/>
      <c r="F161" s="397"/>
      <c r="G161" s="397"/>
      <c r="H161" s="397"/>
      <c r="I161" s="397"/>
      <c r="J161" s="397"/>
    </row>
    <row r="162" spans="1:10" ht="16.5">
      <c r="A162" s="382"/>
      <c r="B162" s="395"/>
      <c r="C162" s="396"/>
      <c r="D162" s="396"/>
      <c r="E162" s="397"/>
      <c r="F162" s="397"/>
      <c r="G162" s="397"/>
      <c r="H162" s="397"/>
      <c r="I162" s="397"/>
      <c r="J162" s="397"/>
    </row>
    <row r="163" spans="1:10" ht="16.5">
      <c r="A163" s="382"/>
      <c r="B163" s="395"/>
      <c r="C163" s="396"/>
      <c r="D163" s="396"/>
      <c r="E163" s="397"/>
      <c r="F163" s="397"/>
      <c r="G163" s="397"/>
      <c r="H163" s="397"/>
      <c r="I163" s="397"/>
      <c r="J163" s="397"/>
    </row>
    <row r="164" spans="1:10" ht="16.5">
      <c r="A164" s="382"/>
      <c r="B164" s="395"/>
      <c r="C164" s="396"/>
      <c r="D164" s="396"/>
      <c r="E164" s="397"/>
      <c r="F164" s="397"/>
      <c r="G164" s="397"/>
      <c r="H164" s="397"/>
      <c r="I164" s="397"/>
      <c r="J164" s="397"/>
    </row>
    <row r="165" spans="1:10" ht="16.5">
      <c r="A165" s="382"/>
      <c r="B165" s="395"/>
      <c r="C165" s="396"/>
      <c r="D165" s="396"/>
      <c r="E165" s="397"/>
      <c r="F165" s="397"/>
      <c r="G165" s="397"/>
      <c r="H165" s="397"/>
      <c r="I165" s="397"/>
      <c r="J165" s="397"/>
    </row>
    <row r="166" spans="1:10" ht="16.5">
      <c r="A166" s="382"/>
      <c r="B166" s="395"/>
      <c r="C166" s="396"/>
      <c r="D166" s="396"/>
      <c r="E166" s="397"/>
      <c r="F166" s="397"/>
      <c r="G166" s="397"/>
      <c r="H166" s="397"/>
      <c r="I166" s="397"/>
      <c r="J166" s="397"/>
    </row>
    <row r="167" spans="1:10" ht="16.5">
      <c r="A167" s="382"/>
      <c r="B167" s="395"/>
      <c r="C167" s="396"/>
      <c r="D167" s="396"/>
      <c r="E167" s="397"/>
      <c r="F167" s="397"/>
      <c r="G167" s="397"/>
      <c r="H167" s="397"/>
      <c r="I167" s="397"/>
      <c r="J167" s="397"/>
    </row>
    <row r="168" spans="1:10" ht="16.5">
      <c r="A168" s="382"/>
      <c r="B168" s="395"/>
      <c r="C168" s="396"/>
      <c r="D168" s="396"/>
      <c r="E168" s="397"/>
      <c r="F168" s="397"/>
      <c r="G168" s="397"/>
      <c r="H168" s="397"/>
      <c r="I168" s="397"/>
      <c r="J168" s="397"/>
    </row>
    <row r="169" spans="1:10" ht="16.5">
      <c r="A169" s="382"/>
      <c r="B169" s="395"/>
      <c r="C169" s="396"/>
      <c r="D169" s="396"/>
      <c r="E169" s="397"/>
      <c r="F169" s="397"/>
      <c r="G169" s="397"/>
      <c r="H169" s="397"/>
      <c r="I169" s="397"/>
      <c r="J169" s="397"/>
    </row>
    <row r="170" spans="1:10" ht="16.5">
      <c r="A170" s="382"/>
      <c r="B170" s="395"/>
      <c r="C170" s="396"/>
      <c r="D170" s="396"/>
      <c r="E170" s="397"/>
      <c r="F170" s="397"/>
      <c r="G170" s="397"/>
      <c r="H170" s="397"/>
      <c r="I170" s="397"/>
      <c r="J170" s="397"/>
    </row>
    <row r="171" spans="1:10" ht="16.5">
      <c r="A171" s="382"/>
      <c r="B171" s="395"/>
      <c r="C171" s="396"/>
      <c r="D171" s="396"/>
      <c r="E171" s="397"/>
      <c r="F171" s="397"/>
      <c r="G171" s="397"/>
      <c r="H171" s="397"/>
      <c r="I171" s="397"/>
      <c r="J171" s="397"/>
    </row>
    <row r="172" spans="1:10" ht="16.5">
      <c r="A172" s="382"/>
      <c r="B172" s="395"/>
      <c r="C172" s="396"/>
      <c r="D172" s="396"/>
      <c r="E172" s="397"/>
      <c r="F172" s="397"/>
      <c r="G172" s="397"/>
      <c r="H172" s="397"/>
      <c r="I172" s="397"/>
      <c r="J172" s="397"/>
    </row>
    <row r="173" spans="1:10" ht="16.5">
      <c r="A173" s="382"/>
      <c r="B173" s="395"/>
      <c r="C173" s="396"/>
      <c r="D173" s="396"/>
      <c r="E173" s="397"/>
      <c r="F173" s="397"/>
      <c r="G173" s="397"/>
      <c r="H173" s="397"/>
      <c r="I173" s="397"/>
      <c r="J173" s="397"/>
    </row>
    <row r="174" spans="1:10" ht="16.5">
      <c r="A174" s="382"/>
      <c r="B174" s="395"/>
      <c r="C174" s="396"/>
      <c r="D174" s="396"/>
      <c r="E174" s="397"/>
      <c r="F174" s="397"/>
      <c r="G174" s="397"/>
      <c r="H174" s="397"/>
      <c r="I174" s="397"/>
      <c r="J174" s="397"/>
    </row>
    <row r="175" spans="1:10" ht="16.5">
      <c r="A175" s="382"/>
      <c r="B175" s="395"/>
      <c r="C175" s="396"/>
      <c r="D175" s="396"/>
      <c r="E175" s="397"/>
      <c r="F175" s="397"/>
      <c r="G175" s="397"/>
      <c r="H175" s="397"/>
      <c r="I175" s="397"/>
      <c r="J175" s="397"/>
    </row>
    <row r="176" spans="1:10" ht="16.5">
      <c r="A176" s="382"/>
      <c r="B176" s="395"/>
      <c r="C176" s="396"/>
      <c r="D176" s="396"/>
      <c r="E176" s="397"/>
      <c r="F176" s="397"/>
      <c r="G176" s="397"/>
      <c r="H176" s="397"/>
      <c r="I176" s="397"/>
      <c r="J176" s="397"/>
    </row>
    <row r="177" spans="1:10" ht="16.5">
      <c r="A177" s="382"/>
      <c r="B177" s="395"/>
      <c r="C177" s="396"/>
      <c r="D177" s="396"/>
      <c r="E177" s="397"/>
      <c r="F177" s="397"/>
      <c r="G177" s="397"/>
      <c r="H177" s="397"/>
      <c r="I177" s="397"/>
      <c r="J177" s="397"/>
    </row>
    <row r="178" spans="1:10" ht="16.5">
      <c r="A178" s="382"/>
      <c r="B178" s="395"/>
      <c r="C178" s="396"/>
      <c r="D178" s="396"/>
      <c r="E178" s="397"/>
      <c r="F178" s="397"/>
      <c r="G178" s="397"/>
      <c r="H178" s="397"/>
      <c r="I178" s="397"/>
      <c r="J178" s="397"/>
    </row>
    <row r="179" spans="1:10" ht="16.5">
      <c r="A179" s="382"/>
      <c r="B179" s="395"/>
      <c r="C179" s="396"/>
      <c r="D179" s="396"/>
      <c r="E179" s="397"/>
      <c r="F179" s="397"/>
      <c r="G179" s="397"/>
      <c r="H179" s="397"/>
      <c r="I179" s="397"/>
      <c r="J179" s="397"/>
    </row>
    <row r="180" spans="1:10" ht="16.5">
      <c r="A180" s="382"/>
      <c r="B180" s="395"/>
      <c r="C180" s="396"/>
      <c r="D180" s="396"/>
      <c r="E180" s="397"/>
      <c r="F180" s="397"/>
      <c r="G180" s="397"/>
      <c r="H180" s="397"/>
      <c r="I180" s="397"/>
      <c r="J180" s="397"/>
    </row>
    <row r="181" spans="1:10" ht="16.5">
      <c r="A181" s="382"/>
      <c r="B181" s="395"/>
      <c r="C181" s="396"/>
      <c r="D181" s="396"/>
      <c r="E181" s="397"/>
      <c r="F181" s="397"/>
      <c r="G181" s="397"/>
      <c r="H181" s="397"/>
      <c r="I181" s="397"/>
      <c r="J181" s="397"/>
    </row>
    <row r="182" spans="1:10" ht="16.5">
      <c r="A182" s="382"/>
      <c r="B182" s="395"/>
      <c r="C182" s="396"/>
      <c r="D182" s="396"/>
      <c r="E182" s="397"/>
      <c r="F182" s="397"/>
      <c r="G182" s="397"/>
      <c r="H182" s="397"/>
      <c r="I182" s="397"/>
      <c r="J182" s="397"/>
    </row>
    <row r="183" spans="1:10" ht="16.5">
      <c r="A183" s="382"/>
      <c r="B183" s="395"/>
      <c r="C183" s="396"/>
      <c r="D183" s="396"/>
      <c r="E183" s="397"/>
      <c r="F183" s="397"/>
      <c r="G183" s="397"/>
      <c r="H183" s="397"/>
      <c r="I183" s="397"/>
      <c r="J183" s="397"/>
    </row>
    <row r="184" spans="1:10" ht="16.5">
      <c r="A184" s="382"/>
      <c r="B184" s="395"/>
      <c r="C184" s="396"/>
      <c r="D184" s="396"/>
      <c r="E184" s="397"/>
      <c r="F184" s="397"/>
      <c r="G184" s="397"/>
      <c r="H184" s="397"/>
      <c r="I184" s="397"/>
      <c r="J184" s="397"/>
    </row>
    <row r="185" spans="1:10" ht="16.5">
      <c r="A185" s="382"/>
      <c r="B185" s="395"/>
      <c r="C185" s="396"/>
      <c r="D185" s="396"/>
      <c r="E185" s="397"/>
      <c r="F185" s="397"/>
      <c r="G185" s="397"/>
      <c r="H185" s="397"/>
      <c r="I185" s="397"/>
      <c r="J185" s="397"/>
    </row>
    <row r="186" spans="1:10" ht="16.5">
      <c r="A186" s="382"/>
      <c r="B186" s="395"/>
      <c r="C186" s="396"/>
      <c r="D186" s="396"/>
      <c r="E186" s="397"/>
      <c r="F186" s="397"/>
      <c r="G186" s="397"/>
      <c r="H186" s="397"/>
      <c r="I186" s="397"/>
      <c r="J186" s="397"/>
    </row>
    <row r="187" spans="1:10" ht="16.5">
      <c r="A187" s="382"/>
      <c r="B187" s="395"/>
      <c r="C187" s="396"/>
      <c r="D187" s="396"/>
      <c r="E187" s="397"/>
      <c r="F187" s="397"/>
      <c r="G187" s="397"/>
      <c r="H187" s="397"/>
      <c r="I187" s="397"/>
      <c r="J187" s="397"/>
    </row>
    <row r="188" spans="1:10" ht="16.5">
      <c r="A188" s="382"/>
      <c r="B188" s="395"/>
      <c r="C188" s="396"/>
      <c r="D188" s="396"/>
      <c r="E188" s="397"/>
      <c r="F188" s="397"/>
      <c r="G188" s="397"/>
      <c r="H188" s="397"/>
      <c r="I188" s="397"/>
      <c r="J188" s="397"/>
    </row>
    <row r="189" spans="1:10" ht="16.5">
      <c r="A189" s="382"/>
      <c r="B189" s="395"/>
      <c r="C189" s="396"/>
      <c r="D189" s="396"/>
      <c r="E189" s="397"/>
      <c r="F189" s="397"/>
      <c r="G189" s="397"/>
      <c r="H189" s="397"/>
      <c r="I189" s="397"/>
      <c r="J189" s="397"/>
    </row>
    <row r="190" spans="1:10" ht="16.5">
      <c r="A190" s="382"/>
      <c r="B190" s="395"/>
      <c r="C190" s="396"/>
      <c r="D190" s="396"/>
      <c r="E190" s="397"/>
      <c r="F190" s="397"/>
      <c r="G190" s="397"/>
      <c r="H190" s="397"/>
      <c r="I190" s="397"/>
      <c r="J190" s="397"/>
    </row>
    <row r="191" spans="1:10" ht="16.5">
      <c r="A191" s="382"/>
      <c r="B191" s="395"/>
      <c r="C191" s="396"/>
      <c r="D191" s="396"/>
      <c r="E191" s="397"/>
      <c r="F191" s="397"/>
      <c r="G191" s="397"/>
      <c r="H191" s="397"/>
      <c r="I191" s="397"/>
      <c r="J191" s="397"/>
    </row>
    <row r="192" spans="1:10" ht="16.5">
      <c r="A192" s="382"/>
      <c r="B192" s="395"/>
      <c r="C192" s="396"/>
      <c r="D192" s="396"/>
      <c r="E192" s="397"/>
      <c r="F192" s="397"/>
      <c r="G192" s="397"/>
      <c r="H192" s="397"/>
      <c r="I192" s="397"/>
      <c r="J192" s="397"/>
    </row>
    <row r="193" spans="1:10" ht="16.5">
      <c r="A193" s="382"/>
      <c r="B193" s="395"/>
      <c r="C193" s="396"/>
      <c r="D193" s="396"/>
      <c r="E193" s="397"/>
      <c r="F193" s="397"/>
      <c r="G193" s="397"/>
      <c r="H193" s="397"/>
      <c r="I193" s="397"/>
      <c r="J193" s="397"/>
    </row>
    <row r="194" spans="1:10" ht="16.5">
      <c r="A194" s="382"/>
      <c r="B194" s="395"/>
      <c r="C194" s="396"/>
      <c r="D194" s="396"/>
      <c r="E194" s="397"/>
      <c r="F194" s="397"/>
      <c r="G194" s="397"/>
      <c r="H194" s="397"/>
      <c r="I194" s="397"/>
      <c r="J194" s="397"/>
    </row>
    <row r="195" spans="1:10" ht="16.5">
      <c r="A195" s="382"/>
      <c r="B195" s="395"/>
      <c r="C195" s="396"/>
      <c r="D195" s="396"/>
      <c r="E195" s="397"/>
      <c r="F195" s="397"/>
      <c r="G195" s="397"/>
      <c r="H195" s="397"/>
      <c r="I195" s="397"/>
      <c r="J195" s="397"/>
    </row>
    <row r="196" spans="1:10" ht="16.5">
      <c r="A196" s="382"/>
      <c r="B196" s="395"/>
      <c r="C196" s="396"/>
      <c r="D196" s="396"/>
      <c r="E196" s="397"/>
      <c r="F196" s="397"/>
      <c r="G196" s="397"/>
      <c r="H196" s="397"/>
      <c r="I196" s="397"/>
      <c r="J196" s="397"/>
    </row>
    <row r="197" spans="1:10" ht="16.5">
      <c r="A197" s="382"/>
      <c r="B197" s="395"/>
      <c r="C197" s="396"/>
      <c r="D197" s="396"/>
      <c r="E197" s="397"/>
      <c r="F197" s="397"/>
      <c r="G197" s="397"/>
      <c r="H197" s="397"/>
      <c r="I197" s="397"/>
      <c r="J197" s="397"/>
    </row>
    <row r="198" spans="1:10" ht="16.5">
      <c r="A198" s="382"/>
      <c r="B198" s="395"/>
      <c r="C198" s="396"/>
      <c r="D198" s="396"/>
      <c r="E198" s="397"/>
      <c r="F198" s="397"/>
      <c r="G198" s="397"/>
      <c r="H198" s="397"/>
      <c r="I198" s="397"/>
      <c r="J198" s="397"/>
    </row>
    <row r="199" spans="1:10" ht="16.5">
      <c r="A199" s="382"/>
      <c r="B199" s="395"/>
      <c r="C199" s="396"/>
      <c r="D199" s="396"/>
      <c r="E199" s="397"/>
      <c r="F199" s="397"/>
      <c r="G199" s="397"/>
      <c r="H199" s="397"/>
      <c r="I199" s="397"/>
      <c r="J199" s="397"/>
    </row>
    <row r="200" spans="1:10" ht="16.5">
      <c r="A200" s="382"/>
      <c r="B200" s="395"/>
      <c r="C200" s="396"/>
      <c r="D200" s="396"/>
      <c r="E200" s="397"/>
      <c r="F200" s="397"/>
      <c r="G200" s="397"/>
      <c r="H200" s="397"/>
      <c r="I200" s="397"/>
      <c r="J200" s="397"/>
    </row>
    <row r="201" spans="1:10" ht="16.5">
      <c r="A201" s="382"/>
      <c r="B201" s="395"/>
      <c r="C201" s="396"/>
      <c r="D201" s="396"/>
      <c r="E201" s="397"/>
      <c r="F201" s="397"/>
      <c r="G201" s="397"/>
      <c r="H201" s="397"/>
      <c r="I201" s="397"/>
      <c r="J201" s="397"/>
    </row>
    <row r="202" spans="1:10" ht="16.5">
      <c r="A202" s="382"/>
      <c r="B202" s="395"/>
      <c r="C202" s="396"/>
      <c r="D202" s="396"/>
      <c r="E202" s="397"/>
      <c r="F202" s="397"/>
      <c r="G202" s="397"/>
      <c r="H202" s="397"/>
      <c r="I202" s="397"/>
      <c r="J202" s="397"/>
    </row>
    <row r="203" spans="1:10" ht="16.5">
      <c r="A203" s="382"/>
      <c r="B203" s="395"/>
      <c r="C203" s="396"/>
      <c r="D203" s="396"/>
      <c r="E203" s="397"/>
      <c r="F203" s="397"/>
      <c r="G203" s="397"/>
      <c r="H203" s="397"/>
      <c r="I203" s="397"/>
      <c r="J203" s="397"/>
    </row>
    <row r="204" spans="1:10" ht="16.5">
      <c r="A204" s="382"/>
      <c r="B204" s="395"/>
      <c r="C204" s="396"/>
      <c r="D204" s="396"/>
      <c r="E204" s="397"/>
      <c r="F204" s="397"/>
      <c r="G204" s="397"/>
      <c r="H204" s="397"/>
      <c r="I204" s="397"/>
      <c r="J204" s="397"/>
    </row>
    <row r="205" spans="1:10" ht="16.5">
      <c r="A205" s="382"/>
      <c r="B205" s="395"/>
      <c r="C205" s="396"/>
      <c r="D205" s="396"/>
      <c r="E205" s="397"/>
      <c r="F205" s="397"/>
      <c r="G205" s="397"/>
      <c r="H205" s="397"/>
      <c r="I205" s="397"/>
      <c r="J205" s="397"/>
    </row>
    <row r="206" spans="1:10" ht="16.5">
      <c r="A206" s="382"/>
      <c r="B206" s="395"/>
      <c r="C206" s="396"/>
      <c r="D206" s="396"/>
      <c r="E206" s="397"/>
      <c r="F206" s="397"/>
      <c r="G206" s="397"/>
      <c r="H206" s="397"/>
      <c r="I206" s="397"/>
      <c r="J206" s="397"/>
    </row>
    <row r="207" spans="1:10" ht="16.5">
      <c r="A207" s="382"/>
      <c r="B207" s="395"/>
      <c r="C207" s="396"/>
      <c r="D207" s="396"/>
      <c r="E207" s="397"/>
      <c r="F207" s="397"/>
      <c r="G207" s="397"/>
      <c r="H207" s="397"/>
      <c r="I207" s="397"/>
      <c r="J207" s="397"/>
    </row>
    <row r="208" spans="1:10" ht="16.5">
      <c r="A208" s="382"/>
      <c r="B208" s="395"/>
      <c r="C208" s="396"/>
      <c r="D208" s="396"/>
      <c r="E208" s="397"/>
      <c r="F208" s="397"/>
      <c r="G208" s="397"/>
      <c r="H208" s="397"/>
      <c r="I208" s="397"/>
      <c r="J208" s="397"/>
    </row>
    <row r="209" spans="1:10" ht="16.5">
      <c r="A209" s="382"/>
      <c r="B209" s="395"/>
      <c r="C209" s="396"/>
      <c r="D209" s="396"/>
      <c r="E209" s="397"/>
      <c r="F209" s="397"/>
      <c r="G209" s="397"/>
      <c r="H209" s="397"/>
      <c r="I209" s="397"/>
      <c r="J209" s="397"/>
    </row>
    <row r="210" spans="1:10" ht="16.5">
      <c r="A210" s="382"/>
      <c r="B210" s="395"/>
      <c r="C210" s="396"/>
      <c r="D210" s="396"/>
      <c r="E210" s="397"/>
      <c r="F210" s="397"/>
      <c r="G210" s="397"/>
      <c r="H210" s="397"/>
      <c r="I210" s="397"/>
      <c r="J210" s="397"/>
    </row>
    <row r="211" spans="1:10" ht="16.5">
      <c r="A211" s="382"/>
      <c r="B211" s="395"/>
      <c r="C211" s="396"/>
      <c r="D211" s="396"/>
      <c r="E211" s="397"/>
      <c r="F211" s="397"/>
      <c r="G211" s="397"/>
      <c r="H211" s="397"/>
      <c r="I211" s="397"/>
      <c r="J211" s="397"/>
    </row>
    <row r="212" spans="1:10" ht="16.5">
      <c r="A212" s="382"/>
      <c r="B212" s="395"/>
      <c r="C212" s="396"/>
      <c r="D212" s="396"/>
      <c r="E212" s="397"/>
      <c r="F212" s="397"/>
      <c r="G212" s="397"/>
      <c r="H212" s="397"/>
      <c r="I212" s="397"/>
      <c r="J212" s="397"/>
    </row>
    <row r="213" spans="1:10" ht="16.5">
      <c r="A213" s="382"/>
      <c r="B213" s="395"/>
      <c r="C213" s="396"/>
      <c r="D213" s="396"/>
      <c r="E213" s="397"/>
      <c r="F213" s="397"/>
      <c r="G213" s="397"/>
      <c r="H213" s="397"/>
      <c r="I213" s="397"/>
      <c r="J213" s="397"/>
    </row>
    <row r="214" spans="1:10" ht="16.5">
      <c r="A214" s="382"/>
      <c r="B214" s="395"/>
      <c r="C214" s="396"/>
      <c r="D214" s="396"/>
      <c r="E214" s="397"/>
      <c r="F214" s="397"/>
      <c r="G214" s="397"/>
      <c r="H214" s="397"/>
      <c r="I214" s="397"/>
      <c r="J214" s="397"/>
    </row>
    <row r="215" spans="1:10" ht="16.5">
      <c r="A215" s="382"/>
      <c r="B215" s="395"/>
      <c r="C215" s="396"/>
      <c r="D215" s="396"/>
      <c r="E215" s="397"/>
      <c r="F215" s="397"/>
      <c r="G215" s="397"/>
      <c r="H215" s="397"/>
      <c r="I215" s="397"/>
      <c r="J215" s="397"/>
    </row>
    <row r="216" spans="1:10" ht="16.5">
      <c r="A216" s="382"/>
      <c r="B216" s="395"/>
      <c r="C216" s="396"/>
      <c r="D216" s="396"/>
      <c r="E216" s="397"/>
      <c r="F216" s="397"/>
      <c r="G216" s="397"/>
      <c r="H216" s="397"/>
      <c r="I216" s="397"/>
      <c r="J216" s="397"/>
    </row>
    <row r="217" spans="1:10" ht="16.5">
      <c r="A217" s="382"/>
      <c r="B217" s="395"/>
      <c r="C217" s="396"/>
      <c r="D217" s="396"/>
      <c r="E217" s="397"/>
      <c r="F217" s="397"/>
      <c r="G217" s="397"/>
      <c r="H217" s="397"/>
      <c r="I217" s="397"/>
      <c r="J217" s="397"/>
    </row>
    <row r="218" spans="1:10" ht="16.5">
      <c r="A218" s="382"/>
      <c r="B218" s="395"/>
      <c r="C218" s="396"/>
      <c r="D218" s="396"/>
      <c r="E218" s="397"/>
      <c r="F218" s="397"/>
      <c r="G218" s="397"/>
      <c r="H218" s="397"/>
      <c r="I218" s="397"/>
      <c r="J218" s="397"/>
    </row>
    <row r="219" spans="1:10" ht="16.5">
      <c r="A219" s="382"/>
      <c r="B219" s="395"/>
      <c r="C219" s="396"/>
      <c r="D219" s="396"/>
      <c r="E219" s="397"/>
      <c r="F219" s="397"/>
      <c r="G219" s="397"/>
      <c r="H219" s="397"/>
      <c r="I219" s="397"/>
      <c r="J219" s="397"/>
    </row>
    <row r="220" spans="1:10" ht="16.5">
      <c r="A220" s="382"/>
      <c r="B220" s="395"/>
      <c r="C220" s="396"/>
      <c r="D220" s="396"/>
      <c r="E220" s="397"/>
      <c r="F220" s="397"/>
      <c r="G220" s="397"/>
      <c r="H220" s="397"/>
      <c r="I220" s="397"/>
      <c r="J220" s="397"/>
    </row>
    <row r="221" spans="1:10" ht="16.5">
      <c r="A221" s="382"/>
      <c r="B221" s="395"/>
      <c r="C221" s="396"/>
      <c r="D221" s="396"/>
      <c r="E221" s="397"/>
      <c r="F221" s="397"/>
      <c r="G221" s="397"/>
      <c r="H221" s="397"/>
      <c r="I221" s="397"/>
      <c r="J221" s="397"/>
    </row>
    <row r="222" spans="1:10" ht="16.5">
      <c r="A222" s="382"/>
      <c r="B222" s="395"/>
      <c r="C222" s="396"/>
      <c r="D222" s="396"/>
      <c r="E222" s="397"/>
      <c r="F222" s="397"/>
      <c r="G222" s="397"/>
      <c r="H222" s="397"/>
      <c r="I222" s="397"/>
      <c r="J222" s="397"/>
    </row>
    <row r="223" spans="1:10" ht="16.5">
      <c r="A223" s="382"/>
      <c r="B223" s="395"/>
      <c r="C223" s="396"/>
      <c r="D223" s="396"/>
      <c r="E223" s="397"/>
      <c r="F223" s="397"/>
      <c r="G223" s="397"/>
      <c r="H223" s="397"/>
      <c r="I223" s="397"/>
      <c r="J223" s="397"/>
    </row>
    <row r="224" spans="1:10" ht="16.5">
      <c r="A224" s="382"/>
      <c r="B224" s="395"/>
      <c r="C224" s="396"/>
      <c r="D224" s="396"/>
      <c r="E224" s="397"/>
      <c r="F224" s="397"/>
      <c r="G224" s="397"/>
      <c r="H224" s="397"/>
      <c r="I224" s="397"/>
      <c r="J224" s="397"/>
    </row>
    <row r="225" spans="1:10" ht="16.5">
      <c r="A225" s="382"/>
      <c r="B225" s="395"/>
      <c r="C225" s="396"/>
      <c r="D225" s="396"/>
      <c r="E225" s="397"/>
      <c r="F225" s="397"/>
      <c r="G225" s="397"/>
      <c r="H225" s="397"/>
      <c r="I225" s="397"/>
      <c r="J225" s="397"/>
    </row>
    <row r="226" spans="1:10" ht="16.5">
      <c r="A226" s="382"/>
      <c r="B226" s="395"/>
      <c r="C226" s="396"/>
      <c r="D226" s="396"/>
      <c r="E226" s="397"/>
      <c r="F226" s="397"/>
      <c r="G226" s="397"/>
      <c r="H226" s="397"/>
      <c r="I226" s="397"/>
      <c r="J226" s="397"/>
    </row>
    <row r="227" spans="1:10" ht="16.5">
      <c r="A227" s="382"/>
      <c r="B227" s="395"/>
      <c r="C227" s="396"/>
      <c r="D227" s="396"/>
      <c r="E227" s="397"/>
      <c r="F227" s="397"/>
      <c r="G227" s="397"/>
      <c r="H227" s="397"/>
      <c r="I227" s="397"/>
      <c r="J227" s="397"/>
    </row>
    <row r="228" spans="1:10" ht="16.5">
      <c r="A228" s="382"/>
      <c r="B228" s="395"/>
      <c r="C228" s="396"/>
      <c r="D228" s="396"/>
      <c r="E228" s="397"/>
      <c r="F228" s="397"/>
      <c r="G228" s="397"/>
      <c r="H228" s="397"/>
      <c r="I228" s="397"/>
      <c r="J228" s="397"/>
    </row>
    <row r="229" spans="1:10" ht="16.5">
      <c r="A229" s="382"/>
      <c r="B229" s="395"/>
      <c r="C229" s="396"/>
      <c r="D229" s="396"/>
      <c r="E229" s="397"/>
      <c r="F229" s="397"/>
      <c r="G229" s="397"/>
      <c r="H229" s="397"/>
      <c r="I229" s="397"/>
      <c r="J229" s="397"/>
    </row>
    <row r="230" spans="1:10" ht="16.5">
      <c r="A230" s="382"/>
      <c r="B230" s="395"/>
      <c r="C230" s="396"/>
      <c r="D230" s="396"/>
      <c r="E230" s="397"/>
      <c r="F230" s="397"/>
      <c r="G230" s="397"/>
      <c r="H230" s="397"/>
      <c r="I230" s="397"/>
      <c r="J230" s="397"/>
    </row>
    <row r="231" spans="1:10" ht="16.5">
      <c r="A231" s="382"/>
      <c r="B231" s="395"/>
      <c r="C231" s="396"/>
      <c r="D231" s="396"/>
      <c r="E231" s="397"/>
      <c r="F231" s="397"/>
      <c r="G231" s="397"/>
      <c r="H231" s="397"/>
      <c r="I231" s="397"/>
      <c r="J231" s="397"/>
    </row>
    <row r="232" spans="1:10" ht="16.5">
      <c r="A232" s="382"/>
      <c r="B232" s="395"/>
      <c r="C232" s="396"/>
      <c r="D232" s="396"/>
      <c r="E232" s="397"/>
      <c r="F232" s="397"/>
      <c r="G232" s="397"/>
      <c r="H232" s="397"/>
      <c r="I232" s="397"/>
      <c r="J232" s="397"/>
    </row>
    <row r="233" spans="1:10" ht="16.5">
      <c r="A233" s="382"/>
      <c r="B233" s="395"/>
      <c r="C233" s="396"/>
      <c r="D233" s="396"/>
      <c r="E233" s="397"/>
      <c r="F233" s="397"/>
      <c r="G233" s="397"/>
      <c r="H233" s="397"/>
      <c r="I233" s="397"/>
      <c r="J233" s="397"/>
    </row>
    <row r="234" spans="1:10" ht="16.5">
      <c r="A234" s="382"/>
      <c r="B234" s="395"/>
      <c r="C234" s="396"/>
      <c r="D234" s="396"/>
      <c r="E234" s="397"/>
      <c r="F234" s="397"/>
      <c r="G234" s="397"/>
      <c r="H234" s="397"/>
      <c r="I234" s="397"/>
      <c r="J234" s="397"/>
    </row>
    <row r="235" spans="1:10" ht="16.5">
      <c r="A235" s="382"/>
      <c r="B235" s="395"/>
      <c r="C235" s="396"/>
      <c r="D235" s="396"/>
      <c r="E235" s="397"/>
      <c r="F235" s="397"/>
      <c r="G235" s="397"/>
      <c r="H235" s="397"/>
      <c r="I235" s="397"/>
      <c r="J235" s="397"/>
    </row>
    <row r="236" spans="1:10" ht="16.5">
      <c r="A236" s="382"/>
      <c r="B236" s="395"/>
      <c r="C236" s="396"/>
      <c r="D236" s="396"/>
      <c r="E236" s="397"/>
      <c r="F236" s="397"/>
      <c r="G236" s="397"/>
      <c r="H236" s="397"/>
      <c r="I236" s="397"/>
      <c r="J236" s="397"/>
    </row>
    <row r="237" spans="1:10" ht="16.5">
      <c r="A237" s="382"/>
      <c r="B237" s="395"/>
      <c r="C237" s="396"/>
      <c r="D237" s="396"/>
      <c r="E237" s="397"/>
      <c r="F237" s="397"/>
      <c r="G237" s="397"/>
      <c r="H237" s="397"/>
      <c r="I237" s="397"/>
      <c r="J237" s="397"/>
    </row>
    <row r="238" spans="1:10" ht="16.5">
      <c r="A238" s="382"/>
      <c r="B238" s="395"/>
      <c r="C238" s="396"/>
      <c r="D238" s="396"/>
      <c r="E238" s="397"/>
      <c r="F238" s="397"/>
      <c r="G238" s="397"/>
      <c r="H238" s="397"/>
      <c r="I238" s="397"/>
      <c r="J238" s="397"/>
    </row>
    <row r="239" spans="1:10" ht="16.5">
      <c r="A239" s="382"/>
      <c r="B239" s="395"/>
      <c r="C239" s="396"/>
      <c r="D239" s="396"/>
      <c r="E239" s="397"/>
      <c r="F239" s="397"/>
      <c r="G239" s="397"/>
      <c r="H239" s="397"/>
      <c r="I239" s="397"/>
      <c r="J239" s="397"/>
    </row>
    <row r="240" spans="1:10" ht="16.5">
      <c r="A240" s="382"/>
      <c r="B240" s="395"/>
      <c r="C240" s="396"/>
      <c r="D240" s="396"/>
      <c r="E240" s="397"/>
      <c r="F240" s="397"/>
      <c r="G240" s="397"/>
      <c r="H240" s="397"/>
      <c r="I240" s="397"/>
      <c r="J240" s="397"/>
    </row>
    <row r="241" spans="1:10" ht="16.5">
      <c r="A241" s="382"/>
      <c r="B241" s="395"/>
      <c r="C241" s="396"/>
      <c r="D241" s="396"/>
      <c r="E241" s="397"/>
      <c r="F241" s="397"/>
      <c r="G241" s="397"/>
      <c r="H241" s="397"/>
      <c r="I241" s="397"/>
      <c r="J241" s="397"/>
    </row>
    <row r="242" spans="1:10" ht="16.5">
      <c r="A242" s="382"/>
      <c r="B242" s="395"/>
      <c r="C242" s="396"/>
      <c r="D242" s="396"/>
      <c r="E242" s="397"/>
      <c r="F242" s="397"/>
      <c r="G242" s="397"/>
      <c r="H242" s="397"/>
      <c r="I242" s="397"/>
      <c r="J242" s="397"/>
    </row>
    <row r="243" spans="1:10" ht="16.5">
      <c r="A243" s="382"/>
      <c r="B243" s="395"/>
      <c r="C243" s="396"/>
      <c r="D243" s="396"/>
      <c r="E243" s="397"/>
      <c r="F243" s="397"/>
      <c r="G243" s="397"/>
      <c r="H243" s="397"/>
      <c r="I243" s="397"/>
      <c r="J243" s="397"/>
    </row>
    <row r="244" spans="1:10" ht="16.5">
      <c r="A244" s="382"/>
      <c r="B244" s="395"/>
      <c r="C244" s="396"/>
      <c r="D244" s="396"/>
      <c r="E244" s="397"/>
      <c r="F244" s="397"/>
      <c r="G244" s="397"/>
      <c r="H244" s="397"/>
      <c r="I244" s="397"/>
      <c r="J244" s="397"/>
    </row>
    <row r="245" spans="1:10" ht="16.5">
      <c r="A245" s="382"/>
      <c r="B245" s="395"/>
      <c r="C245" s="396"/>
      <c r="D245" s="396"/>
      <c r="E245" s="397"/>
      <c r="F245" s="397"/>
      <c r="G245" s="397"/>
      <c r="H245" s="397"/>
      <c r="I245" s="397"/>
      <c r="J245" s="397"/>
    </row>
    <row r="246" spans="1:10" ht="16.5">
      <c r="A246" s="382"/>
      <c r="B246" s="395"/>
      <c r="C246" s="396"/>
      <c r="D246" s="396"/>
      <c r="E246" s="397"/>
      <c r="F246" s="397"/>
      <c r="G246" s="397"/>
      <c r="H246" s="397"/>
      <c r="I246" s="397"/>
      <c r="J246" s="397"/>
    </row>
    <row r="247" spans="1:10" ht="16.5">
      <c r="A247" s="382"/>
      <c r="B247" s="395"/>
      <c r="C247" s="396"/>
      <c r="D247" s="396"/>
      <c r="E247" s="397"/>
      <c r="F247" s="397"/>
      <c r="G247" s="397"/>
      <c r="H247" s="397"/>
      <c r="I247" s="397"/>
      <c r="J247" s="397"/>
    </row>
    <row r="248" spans="1:10" ht="16.5">
      <c r="A248" s="382"/>
      <c r="B248" s="395"/>
      <c r="C248" s="396"/>
      <c r="D248" s="396"/>
      <c r="E248" s="397"/>
      <c r="F248" s="397"/>
      <c r="G248" s="397"/>
      <c r="H248" s="397"/>
      <c r="I248" s="397"/>
      <c r="J248" s="397"/>
    </row>
    <row r="249" spans="1:10" ht="16.5">
      <c r="A249" s="382"/>
      <c r="B249" s="395"/>
      <c r="C249" s="396"/>
      <c r="D249" s="396"/>
      <c r="E249" s="397"/>
      <c r="F249" s="397"/>
      <c r="G249" s="397"/>
      <c r="H249" s="397"/>
      <c r="I249" s="397"/>
      <c r="J249" s="397"/>
    </row>
    <row r="250" spans="1:10" ht="16.5">
      <c r="A250" s="382"/>
      <c r="B250" s="395"/>
      <c r="C250" s="396"/>
      <c r="D250" s="396"/>
      <c r="E250" s="397"/>
      <c r="F250" s="397"/>
      <c r="G250" s="397"/>
      <c r="H250" s="397"/>
      <c r="I250" s="397"/>
      <c r="J250" s="397"/>
    </row>
    <row r="251" spans="1:10" ht="16.5">
      <c r="A251" s="382"/>
      <c r="B251" s="395"/>
      <c r="C251" s="396"/>
      <c r="D251" s="396"/>
      <c r="E251" s="397"/>
      <c r="F251" s="397"/>
      <c r="G251" s="397"/>
      <c r="H251" s="397"/>
      <c r="I251" s="397"/>
      <c r="J251" s="397"/>
    </row>
    <row r="252" spans="1:10" ht="16.5">
      <c r="A252" s="382"/>
      <c r="B252" s="395"/>
      <c r="C252" s="396"/>
      <c r="D252" s="396"/>
      <c r="E252" s="397"/>
      <c r="F252" s="397"/>
      <c r="G252" s="397"/>
      <c r="H252" s="397"/>
      <c r="I252" s="397"/>
      <c r="J252" s="397"/>
    </row>
    <row r="253" spans="1:10" ht="16.5">
      <c r="A253" s="382"/>
      <c r="B253" s="395"/>
      <c r="C253" s="396"/>
      <c r="D253" s="396"/>
      <c r="E253" s="397"/>
      <c r="F253" s="397"/>
      <c r="G253" s="397"/>
      <c r="H253" s="397"/>
      <c r="I253" s="397"/>
      <c r="J253" s="397"/>
    </row>
    <row r="254" spans="1:10" ht="16.5">
      <c r="A254" s="382"/>
      <c r="B254" s="395"/>
      <c r="C254" s="396"/>
      <c r="D254" s="396"/>
      <c r="E254" s="397"/>
      <c r="F254" s="397"/>
      <c r="G254" s="397"/>
      <c r="H254" s="397"/>
      <c r="I254" s="397"/>
      <c r="J254" s="397"/>
    </row>
    <row r="255" spans="1:10" ht="16.5">
      <c r="A255" s="382"/>
      <c r="B255" s="395"/>
      <c r="C255" s="396"/>
      <c r="D255" s="396"/>
      <c r="E255" s="397"/>
      <c r="F255" s="397"/>
      <c r="G255" s="397"/>
      <c r="H255" s="397"/>
      <c r="I255" s="397"/>
      <c r="J255" s="397"/>
    </row>
    <row r="256" spans="1:10" ht="16.5">
      <c r="A256" s="382"/>
      <c r="B256" s="395"/>
      <c r="C256" s="396"/>
      <c r="D256" s="396"/>
      <c r="E256" s="397"/>
      <c r="F256" s="397"/>
      <c r="G256" s="397"/>
      <c r="H256" s="397"/>
      <c r="I256" s="397"/>
      <c r="J256" s="397"/>
    </row>
    <row r="257" spans="1:10" ht="16.5">
      <c r="A257" s="382"/>
      <c r="B257" s="395"/>
      <c r="C257" s="396"/>
      <c r="D257" s="396"/>
      <c r="E257" s="397"/>
      <c r="F257" s="397"/>
      <c r="G257" s="397"/>
      <c r="H257" s="397"/>
      <c r="I257" s="397"/>
      <c r="J257" s="397"/>
    </row>
    <row r="258" spans="1:10" ht="16.5">
      <c r="A258" s="382"/>
      <c r="B258" s="395"/>
      <c r="C258" s="396"/>
      <c r="D258" s="396"/>
      <c r="E258" s="397"/>
      <c r="F258" s="397"/>
      <c r="G258" s="397"/>
      <c r="H258" s="397"/>
      <c r="I258" s="397"/>
      <c r="J258" s="397"/>
    </row>
    <row r="259" spans="1:10" ht="16.5">
      <c r="A259" s="382"/>
      <c r="B259" s="395"/>
      <c r="C259" s="396"/>
      <c r="D259" s="396"/>
      <c r="E259" s="397"/>
      <c r="F259" s="397"/>
      <c r="G259" s="397"/>
      <c r="H259" s="397"/>
      <c r="I259" s="397"/>
      <c r="J259" s="397"/>
    </row>
    <row r="260" spans="1:10" ht="16.5">
      <c r="A260" s="382"/>
      <c r="B260" s="395"/>
      <c r="C260" s="396"/>
      <c r="D260" s="396"/>
      <c r="E260" s="397"/>
      <c r="F260" s="397"/>
      <c r="G260" s="397"/>
      <c r="H260" s="397"/>
      <c r="I260" s="397"/>
      <c r="J260" s="397"/>
    </row>
    <row r="261" spans="1:10" ht="16.5">
      <c r="A261" s="382"/>
      <c r="B261" s="395"/>
      <c r="C261" s="396"/>
      <c r="D261" s="396"/>
      <c r="E261" s="397"/>
      <c r="F261" s="397"/>
      <c r="G261" s="397"/>
      <c r="H261" s="397"/>
      <c r="I261" s="397"/>
      <c r="J261" s="397"/>
    </row>
    <row r="262" spans="1:10" ht="16.5">
      <c r="A262" s="382"/>
      <c r="B262" s="395"/>
      <c r="C262" s="396"/>
      <c r="D262" s="396"/>
      <c r="E262" s="397"/>
      <c r="F262" s="397"/>
      <c r="G262" s="397"/>
      <c r="H262" s="397"/>
      <c r="I262" s="397"/>
      <c r="J262" s="397"/>
    </row>
    <row r="263" spans="1:10" ht="16.5">
      <c r="A263" s="382"/>
      <c r="B263" s="395"/>
      <c r="C263" s="396"/>
      <c r="D263" s="396"/>
      <c r="E263" s="397"/>
      <c r="F263" s="397"/>
      <c r="G263" s="397"/>
      <c r="H263" s="397"/>
      <c r="I263" s="397"/>
      <c r="J263" s="397"/>
    </row>
    <row r="264" spans="1:10" ht="16.5">
      <c r="A264" s="382"/>
      <c r="B264" s="395"/>
      <c r="C264" s="396"/>
      <c r="D264" s="396"/>
      <c r="E264" s="397"/>
      <c r="F264" s="397"/>
      <c r="G264" s="397"/>
      <c r="H264" s="397"/>
      <c r="I264" s="397"/>
      <c r="J264" s="397"/>
    </row>
    <row r="265" spans="1:10" ht="16.5">
      <c r="A265" s="382"/>
      <c r="B265" s="395"/>
      <c r="C265" s="396"/>
      <c r="D265" s="396"/>
      <c r="E265" s="397"/>
      <c r="F265" s="397"/>
      <c r="G265" s="397"/>
      <c r="H265" s="397"/>
      <c r="I265" s="397"/>
      <c r="J265" s="397"/>
    </row>
    <row r="266" spans="1:10" ht="16.5">
      <c r="A266" s="382"/>
      <c r="B266" s="395"/>
      <c r="C266" s="396"/>
      <c r="D266" s="396"/>
      <c r="E266" s="397"/>
      <c r="F266" s="397"/>
      <c r="G266" s="397"/>
      <c r="H266" s="397"/>
      <c r="I266" s="397"/>
      <c r="J266" s="397"/>
    </row>
    <row r="267" spans="1:10" ht="16.5">
      <c r="A267" s="382"/>
      <c r="B267" s="395"/>
      <c r="C267" s="396"/>
      <c r="D267" s="396"/>
      <c r="E267" s="397"/>
      <c r="F267" s="397"/>
      <c r="G267" s="397"/>
      <c r="H267" s="397"/>
      <c r="I267" s="397"/>
      <c r="J267" s="397"/>
    </row>
    <row r="268" spans="1:10" ht="16.5">
      <c r="A268" s="382"/>
      <c r="B268" s="395"/>
      <c r="C268" s="396"/>
      <c r="D268" s="396"/>
      <c r="E268" s="397"/>
      <c r="F268" s="397"/>
      <c r="G268" s="397"/>
      <c r="H268" s="397"/>
      <c r="I268" s="397"/>
      <c r="J268" s="397"/>
    </row>
    <row r="269" spans="1:10" ht="16.5">
      <c r="A269" s="382"/>
      <c r="B269" s="395"/>
      <c r="C269" s="396"/>
      <c r="D269" s="396"/>
      <c r="E269" s="397"/>
      <c r="F269" s="397"/>
      <c r="G269" s="397"/>
      <c r="H269" s="397"/>
      <c r="I269" s="397"/>
      <c r="J269" s="397"/>
    </row>
    <row r="270" spans="1:10" ht="16.5">
      <c r="A270" s="382"/>
      <c r="B270" s="395"/>
      <c r="C270" s="396"/>
      <c r="D270" s="396"/>
      <c r="E270" s="397"/>
      <c r="F270" s="397"/>
      <c r="G270" s="397"/>
      <c r="H270" s="397"/>
      <c r="I270" s="397"/>
      <c r="J270" s="397"/>
    </row>
    <row r="271" spans="1:10" ht="16.5">
      <c r="A271" s="382"/>
      <c r="B271" s="395"/>
      <c r="C271" s="396"/>
      <c r="D271" s="396"/>
      <c r="E271" s="397"/>
      <c r="F271" s="397"/>
      <c r="G271" s="397"/>
      <c r="H271" s="397"/>
      <c r="I271" s="397"/>
      <c r="J271" s="397"/>
    </row>
    <row r="272" spans="1:10" ht="16.5">
      <c r="A272" s="382"/>
      <c r="B272" s="395"/>
      <c r="C272" s="396"/>
      <c r="D272" s="396"/>
      <c r="E272" s="397"/>
      <c r="F272" s="397"/>
      <c r="G272" s="397"/>
      <c r="H272" s="397"/>
      <c r="I272" s="397"/>
      <c r="J272" s="397"/>
    </row>
    <row r="273" spans="1:10" ht="16.5">
      <c r="A273" s="382"/>
      <c r="B273" s="395"/>
      <c r="C273" s="396"/>
      <c r="D273" s="396"/>
      <c r="E273" s="397"/>
      <c r="F273" s="397"/>
      <c r="G273" s="397"/>
      <c r="H273" s="397"/>
      <c r="I273" s="397"/>
      <c r="J273" s="397"/>
    </row>
    <row r="274" spans="1:10" ht="16.5">
      <c r="A274" s="382"/>
      <c r="B274" s="395"/>
      <c r="C274" s="396"/>
      <c r="D274" s="396"/>
      <c r="E274" s="397"/>
      <c r="F274" s="397"/>
      <c r="G274" s="397"/>
      <c r="H274" s="397"/>
      <c r="I274" s="397"/>
      <c r="J274" s="397"/>
    </row>
    <row r="275" spans="1:10" ht="16.5">
      <c r="A275" s="382"/>
      <c r="B275" s="395"/>
      <c r="C275" s="396"/>
      <c r="D275" s="396"/>
      <c r="E275" s="397"/>
      <c r="F275" s="397"/>
      <c r="G275" s="397"/>
      <c r="H275" s="397"/>
      <c r="I275" s="397"/>
      <c r="J275" s="397"/>
    </row>
    <row r="276" spans="1:10" ht="16.5">
      <c r="A276" s="382"/>
      <c r="B276" s="395"/>
      <c r="C276" s="396"/>
      <c r="D276" s="396"/>
      <c r="E276" s="397"/>
      <c r="F276" s="397"/>
      <c r="G276" s="397"/>
      <c r="H276" s="397"/>
      <c r="I276" s="397"/>
      <c r="J276" s="397"/>
    </row>
    <row r="277" spans="1:10" ht="16.5">
      <c r="A277" s="382"/>
      <c r="B277" s="395"/>
      <c r="C277" s="396"/>
      <c r="D277" s="396"/>
      <c r="E277" s="397"/>
      <c r="F277" s="397"/>
      <c r="G277" s="397"/>
      <c r="H277" s="397"/>
      <c r="I277" s="397"/>
      <c r="J277" s="397"/>
    </row>
    <row r="278" spans="1:10" ht="16.5">
      <c r="A278" s="382"/>
      <c r="B278" s="395"/>
      <c r="C278" s="396"/>
      <c r="D278" s="396"/>
      <c r="E278" s="397"/>
      <c r="F278" s="397"/>
      <c r="G278" s="397"/>
      <c r="H278" s="397"/>
      <c r="I278" s="397"/>
      <c r="J278" s="397"/>
    </row>
    <row r="279" spans="1:10" ht="16.5">
      <c r="A279" s="382"/>
      <c r="B279" s="395"/>
      <c r="C279" s="396"/>
      <c r="D279" s="396"/>
      <c r="E279" s="397"/>
      <c r="F279" s="397"/>
      <c r="G279" s="397"/>
      <c r="H279" s="397"/>
      <c r="I279" s="397"/>
      <c r="J279" s="397"/>
    </row>
    <row r="280" spans="1:10" ht="16.5">
      <c r="A280" s="382"/>
      <c r="B280" s="395"/>
      <c r="C280" s="396"/>
      <c r="D280" s="396"/>
      <c r="E280" s="397"/>
      <c r="F280" s="397"/>
      <c r="G280" s="397"/>
      <c r="H280" s="397"/>
      <c r="I280" s="397"/>
      <c r="J280" s="397"/>
    </row>
    <row r="281" spans="1:10" ht="16.5">
      <c r="A281" s="382"/>
      <c r="B281" s="395"/>
      <c r="C281" s="396"/>
      <c r="D281" s="396"/>
      <c r="E281" s="397"/>
      <c r="F281" s="397"/>
      <c r="G281" s="397"/>
      <c r="H281" s="397"/>
      <c r="I281" s="397"/>
      <c r="J281" s="397"/>
    </row>
    <row r="282" spans="1:10" ht="16.5">
      <c r="A282" s="382"/>
      <c r="B282" s="395"/>
      <c r="C282" s="396"/>
      <c r="D282" s="396"/>
      <c r="E282" s="397"/>
      <c r="F282" s="397"/>
      <c r="G282" s="397"/>
      <c r="H282" s="397"/>
      <c r="I282" s="397"/>
      <c r="J282" s="397"/>
    </row>
    <row r="283" spans="1:10" ht="16.5">
      <c r="A283" s="382"/>
      <c r="B283" s="395"/>
      <c r="C283" s="396"/>
      <c r="D283" s="396"/>
      <c r="E283" s="397"/>
      <c r="F283" s="397"/>
      <c r="G283" s="397"/>
      <c r="H283" s="397"/>
      <c r="I283" s="397"/>
      <c r="J283" s="397"/>
    </row>
    <row r="284" spans="1:10" ht="16.5">
      <c r="A284" s="382"/>
      <c r="B284" s="395"/>
      <c r="C284" s="396"/>
      <c r="D284" s="396"/>
      <c r="E284" s="397"/>
      <c r="F284" s="397"/>
      <c r="G284" s="397"/>
      <c r="H284" s="397"/>
      <c r="I284" s="397"/>
      <c r="J284" s="397"/>
    </row>
    <row r="285" spans="1:10" ht="16.5">
      <c r="A285" s="382"/>
      <c r="B285" s="395"/>
      <c r="C285" s="396"/>
      <c r="D285" s="396"/>
      <c r="E285" s="397"/>
      <c r="F285" s="397"/>
      <c r="G285" s="397"/>
      <c r="H285" s="397"/>
      <c r="I285" s="397"/>
      <c r="J285" s="397"/>
    </row>
    <row r="286" spans="1:10" ht="16.5">
      <c r="A286" s="382"/>
      <c r="B286" s="395"/>
      <c r="C286" s="396"/>
      <c r="D286" s="396"/>
      <c r="E286" s="397"/>
      <c r="F286" s="397"/>
      <c r="G286" s="397"/>
      <c r="H286" s="397"/>
      <c r="I286" s="397"/>
      <c r="J286" s="397"/>
    </row>
    <row r="287" spans="1:10" ht="16.5">
      <c r="A287" s="382"/>
      <c r="B287" s="395"/>
      <c r="C287" s="396"/>
      <c r="D287" s="396"/>
      <c r="E287" s="397"/>
      <c r="F287" s="397"/>
      <c r="G287" s="397"/>
      <c r="H287" s="397"/>
      <c r="I287" s="397"/>
      <c r="J287" s="397"/>
    </row>
    <row r="288" spans="1:10" ht="16.5">
      <c r="A288" s="382"/>
      <c r="B288" s="395"/>
      <c r="C288" s="396"/>
      <c r="D288" s="396"/>
      <c r="E288" s="397"/>
      <c r="F288" s="397"/>
      <c r="G288" s="397"/>
      <c r="H288" s="397"/>
      <c r="I288" s="397"/>
      <c r="J288" s="397"/>
    </row>
    <row r="289" spans="1:10" ht="16.5">
      <c r="A289" s="382"/>
      <c r="B289" s="395"/>
      <c r="C289" s="396"/>
      <c r="D289" s="396"/>
      <c r="E289" s="397"/>
      <c r="F289" s="397"/>
      <c r="G289" s="397"/>
      <c r="H289" s="397"/>
      <c r="I289" s="397"/>
      <c r="J289" s="397"/>
    </row>
    <row r="290" spans="1:10" ht="16.5">
      <c r="A290" s="382"/>
      <c r="B290" s="395"/>
      <c r="C290" s="396"/>
      <c r="D290" s="396"/>
      <c r="E290" s="397"/>
      <c r="F290" s="397"/>
      <c r="G290" s="397"/>
      <c r="H290" s="397"/>
      <c r="I290" s="397"/>
      <c r="J290" s="397"/>
    </row>
    <row r="291" spans="1:10" ht="16.5">
      <c r="A291" s="382"/>
      <c r="B291" s="395"/>
      <c r="C291" s="396"/>
      <c r="D291" s="396"/>
      <c r="E291" s="397"/>
      <c r="F291" s="397"/>
      <c r="G291" s="397"/>
      <c r="H291" s="397"/>
      <c r="I291" s="397"/>
      <c r="J291" s="397"/>
    </row>
    <row r="292" spans="1:10" ht="16.5">
      <c r="A292" s="382"/>
      <c r="B292" s="395"/>
      <c r="C292" s="396"/>
      <c r="D292" s="396"/>
      <c r="E292" s="397"/>
      <c r="F292" s="397"/>
      <c r="G292" s="397"/>
      <c r="H292" s="397"/>
      <c r="I292" s="397"/>
      <c r="J292" s="397"/>
    </row>
    <row r="293" spans="1:10" ht="16.5">
      <c r="A293" s="382"/>
      <c r="B293" s="395"/>
      <c r="C293" s="396"/>
      <c r="D293" s="396"/>
      <c r="E293" s="397"/>
      <c r="F293" s="397"/>
      <c r="G293" s="397"/>
      <c r="H293" s="397"/>
      <c r="I293" s="397"/>
      <c r="J293" s="397"/>
    </row>
  </sheetData>
  <sheetProtection/>
  <mergeCells count="5">
    <mergeCell ref="B2:J2"/>
    <mergeCell ref="A3:J3"/>
    <mergeCell ref="A4:J4"/>
    <mergeCell ref="Q72:U72"/>
    <mergeCell ref="B86:D86"/>
  </mergeCells>
  <printOptions horizontalCentered="1"/>
  <pageMargins left="0" right="0" top="0.5905511811023623" bottom="0.5905511811023623" header="0.5118110236220472" footer="0.3937007874015748"/>
  <pageSetup fitToHeight="0" fitToWidth="1" horizontalDpi="600" verticalDpi="600" orientation="landscape" paperSize="9" scale="84" r:id="rId1"/>
  <headerFooter alignWithMargins="0">
    <oddFooter>&amp;R&amp;"Times New Roman,Regular"&amp;12&amp;P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0"/>
  <sheetViews>
    <sheetView zoomScale="70" zoomScaleNormal="70" zoomScalePageLayoutView="0" workbookViewId="0" topLeftCell="A22">
      <selection activeCell="B33" sqref="B33:F33"/>
    </sheetView>
  </sheetViews>
  <sheetFormatPr defaultColWidth="9.140625" defaultRowHeight="12.75"/>
  <cols>
    <col min="1" max="1" width="5.8515625" style="351" customWidth="1"/>
    <col min="2" max="2" width="37.8515625" style="347" customWidth="1"/>
    <col min="3" max="3" width="14.8515625" style="347" customWidth="1"/>
    <col min="4" max="4" width="14.57421875" style="351" customWidth="1"/>
    <col min="5" max="7" width="13.140625" style="331" customWidth="1"/>
    <col min="8" max="8" width="13.140625" style="351" customWidth="1"/>
    <col min="9" max="9" width="15.421875" style="331" customWidth="1"/>
    <col min="10" max="10" width="20.57421875" style="331" customWidth="1"/>
    <col min="11" max="16384" width="9.140625" style="331" customWidth="1"/>
  </cols>
  <sheetData>
    <row r="1" spans="1:10" ht="36.75" customHeight="1">
      <c r="A1" s="331"/>
      <c r="C1" s="348"/>
      <c r="D1" s="348"/>
      <c r="H1" s="365" t="s">
        <v>702</v>
      </c>
      <c r="I1" s="1796" t="s">
        <v>704</v>
      </c>
      <c r="J1" s="1796"/>
    </row>
    <row r="2" spans="1:10" ht="36.75" customHeight="1">
      <c r="A2" s="331"/>
      <c r="B2" s="1764" t="s">
        <v>351</v>
      </c>
      <c r="C2" s="1764"/>
      <c r="D2" s="1764"/>
      <c r="E2" s="1764"/>
      <c r="F2" s="1764"/>
      <c r="G2" s="1764"/>
      <c r="H2" s="1764"/>
      <c r="I2" s="1764"/>
      <c r="J2" s="1764"/>
    </row>
    <row r="3" spans="1:10" ht="30" customHeight="1">
      <c r="A3" s="1800" t="s">
        <v>329</v>
      </c>
      <c r="B3" s="1765"/>
      <c r="C3" s="1765"/>
      <c r="D3" s="1765"/>
      <c r="E3" s="1765"/>
      <c r="F3" s="1765"/>
      <c r="G3" s="1765"/>
      <c r="H3" s="1765"/>
      <c r="I3" s="1765"/>
      <c r="J3" s="1765"/>
    </row>
    <row r="4" spans="1:10" ht="39" customHeight="1">
      <c r="A4" s="1800" t="s">
        <v>716</v>
      </c>
      <c r="B4" s="1765"/>
      <c r="C4" s="1765"/>
      <c r="D4" s="1765"/>
      <c r="E4" s="1765"/>
      <c r="F4" s="1765"/>
      <c r="G4" s="1765"/>
      <c r="H4" s="1765"/>
      <c r="I4" s="1765"/>
      <c r="J4" s="1765"/>
    </row>
    <row r="5" spans="1:10" ht="32.25" customHeight="1">
      <c r="A5" s="382"/>
      <c r="B5" s="395"/>
      <c r="C5" s="395"/>
      <c r="D5" s="382"/>
      <c r="E5" s="397"/>
      <c r="F5" s="397"/>
      <c r="G5" s="397"/>
      <c r="H5" s="382"/>
      <c r="I5" s="397"/>
      <c r="J5" s="687"/>
    </row>
    <row r="6" spans="1:10" s="349" customFormat="1" ht="54" customHeight="1">
      <c r="A6" s="406" t="s">
        <v>0</v>
      </c>
      <c r="B6" s="406" t="s">
        <v>270</v>
      </c>
      <c r="C6" s="406" t="s">
        <v>104</v>
      </c>
      <c r="D6" s="383" t="s">
        <v>694</v>
      </c>
      <c r="E6" s="383" t="s">
        <v>695</v>
      </c>
      <c r="F6" s="383" t="s">
        <v>696</v>
      </c>
      <c r="G6" s="383" t="s">
        <v>697</v>
      </c>
      <c r="H6" s="383" t="s">
        <v>698</v>
      </c>
      <c r="I6" s="383" t="s">
        <v>699</v>
      </c>
      <c r="J6" s="383" t="s">
        <v>700</v>
      </c>
    </row>
    <row r="7" spans="1:10" s="329" customFormat="1" ht="52.5" customHeight="1">
      <c r="A7" s="386"/>
      <c r="B7" s="383" t="s">
        <v>137</v>
      </c>
      <c r="C7" s="409" t="s">
        <v>215</v>
      </c>
      <c r="D7" s="388"/>
      <c r="E7" s="422"/>
      <c r="F7" s="425"/>
      <c r="G7" s="424"/>
      <c r="H7" s="423"/>
      <c r="I7" s="426"/>
      <c r="J7" s="424"/>
    </row>
    <row r="8" spans="1:10" s="350" customFormat="1" ht="52.5" customHeight="1">
      <c r="A8" s="416"/>
      <c r="B8" s="390" t="s">
        <v>355</v>
      </c>
      <c r="C8" s="409" t="s">
        <v>213</v>
      </c>
      <c r="D8" s="419"/>
      <c r="E8" s="427"/>
      <c r="F8" s="420"/>
      <c r="G8" s="431"/>
      <c r="H8" s="420"/>
      <c r="I8" s="427"/>
      <c r="J8" s="431"/>
    </row>
    <row r="9" spans="1:10" s="350" customFormat="1" ht="35.25" customHeight="1">
      <c r="A9" s="416"/>
      <c r="B9" s="418" t="s">
        <v>240</v>
      </c>
      <c r="C9" s="409" t="s">
        <v>213</v>
      </c>
      <c r="D9" s="419"/>
      <c r="E9" s="427"/>
      <c r="F9" s="420"/>
      <c r="G9" s="431"/>
      <c r="H9" s="420"/>
      <c r="I9" s="427"/>
      <c r="J9" s="431"/>
    </row>
    <row r="10" spans="1:10" s="350" customFormat="1" ht="45" customHeight="1">
      <c r="A10" s="416"/>
      <c r="B10" s="390" t="s">
        <v>356</v>
      </c>
      <c r="C10" s="409"/>
      <c r="D10" s="419"/>
      <c r="E10" s="427"/>
      <c r="F10" s="420"/>
      <c r="G10" s="431"/>
      <c r="H10" s="420"/>
      <c r="I10" s="427"/>
      <c r="J10" s="431"/>
    </row>
    <row r="11" spans="1:10" s="350" customFormat="1" ht="35.25" customHeight="1">
      <c r="A11" s="416"/>
      <c r="B11" s="418" t="s">
        <v>240</v>
      </c>
      <c r="C11" s="409"/>
      <c r="D11" s="419"/>
      <c r="E11" s="427"/>
      <c r="F11" s="420"/>
      <c r="G11" s="431"/>
      <c r="H11" s="420"/>
      <c r="I11" s="427"/>
      <c r="J11" s="431"/>
    </row>
    <row r="12" spans="1:10" s="329" customFormat="1" ht="45" customHeight="1">
      <c r="A12" s="386">
        <v>1</v>
      </c>
      <c r="B12" s="387" t="s">
        <v>271</v>
      </c>
      <c r="C12" s="392" t="s">
        <v>215</v>
      </c>
      <c r="D12" s="388"/>
      <c r="E12" s="422"/>
      <c r="F12" s="425"/>
      <c r="G12" s="424"/>
      <c r="H12" s="425"/>
      <c r="I12" s="426"/>
      <c r="J12" s="433"/>
    </row>
    <row r="13" spans="1:10" s="350" customFormat="1" ht="26.25" customHeight="1">
      <c r="A13" s="416"/>
      <c r="B13" s="418" t="s">
        <v>272</v>
      </c>
      <c r="C13" s="409" t="s">
        <v>213</v>
      </c>
      <c r="D13" s="419"/>
      <c r="E13" s="432"/>
      <c r="F13" s="432"/>
      <c r="G13" s="432"/>
      <c r="H13" s="420"/>
      <c r="I13" s="427"/>
      <c r="J13" s="431"/>
    </row>
    <row r="14" spans="1:10" s="350" customFormat="1" ht="26.25" customHeight="1">
      <c r="A14" s="416"/>
      <c r="B14" s="418" t="s">
        <v>240</v>
      </c>
      <c r="C14" s="409" t="s">
        <v>213</v>
      </c>
      <c r="D14" s="419"/>
      <c r="E14" s="427"/>
      <c r="F14" s="420"/>
      <c r="G14" s="431"/>
      <c r="H14" s="420"/>
      <c r="I14" s="427"/>
      <c r="J14" s="431"/>
    </row>
    <row r="15" spans="1:10" s="329" customFormat="1" ht="36.75" customHeight="1">
      <c r="A15" s="386">
        <v>2</v>
      </c>
      <c r="B15" s="384" t="s">
        <v>273</v>
      </c>
      <c r="C15" s="410" t="s">
        <v>215</v>
      </c>
      <c r="D15" s="388"/>
      <c r="E15" s="426"/>
      <c r="F15" s="425"/>
      <c r="G15" s="433"/>
      <c r="H15" s="425"/>
      <c r="I15" s="426"/>
      <c r="J15" s="433"/>
    </row>
    <row r="16" spans="1:10" s="350" customFormat="1" ht="30.75" customHeight="1">
      <c r="A16" s="416"/>
      <c r="B16" s="418" t="s">
        <v>272</v>
      </c>
      <c r="C16" s="409" t="s">
        <v>213</v>
      </c>
      <c r="D16" s="419"/>
      <c r="E16" s="427"/>
      <c r="F16" s="420"/>
      <c r="G16" s="431"/>
      <c r="H16" s="420"/>
      <c r="I16" s="427"/>
      <c r="J16" s="431"/>
    </row>
    <row r="17" spans="1:10" s="350" customFormat="1" ht="30.75" customHeight="1">
      <c r="A17" s="416"/>
      <c r="B17" s="418" t="s">
        <v>240</v>
      </c>
      <c r="C17" s="409" t="s">
        <v>213</v>
      </c>
      <c r="D17" s="419"/>
      <c r="E17" s="432"/>
      <c r="F17" s="432"/>
      <c r="G17" s="432"/>
      <c r="H17" s="420"/>
      <c r="I17" s="427"/>
      <c r="J17" s="431"/>
    </row>
    <row r="18" spans="1:10" s="329" customFormat="1" ht="41.25" customHeight="1">
      <c r="A18" s="386">
        <v>3</v>
      </c>
      <c r="B18" s="384" t="s">
        <v>274</v>
      </c>
      <c r="C18" s="410" t="s">
        <v>215</v>
      </c>
      <c r="D18" s="388"/>
      <c r="E18" s="426"/>
      <c r="F18" s="425"/>
      <c r="G18" s="433"/>
      <c r="H18" s="425"/>
      <c r="I18" s="426"/>
      <c r="J18" s="433"/>
    </row>
    <row r="19" spans="1:10" s="350" customFormat="1" ht="32.25" customHeight="1">
      <c r="A19" s="416"/>
      <c r="B19" s="418" t="s">
        <v>272</v>
      </c>
      <c r="C19" s="409" t="s">
        <v>213</v>
      </c>
      <c r="D19" s="419"/>
      <c r="E19" s="427"/>
      <c r="F19" s="420"/>
      <c r="G19" s="431"/>
      <c r="H19" s="420"/>
      <c r="I19" s="427"/>
      <c r="J19" s="431"/>
    </row>
    <row r="20" spans="1:10" s="350" customFormat="1" ht="32.25" customHeight="1">
      <c r="A20" s="416"/>
      <c r="B20" s="418" t="s">
        <v>240</v>
      </c>
      <c r="C20" s="409" t="s">
        <v>213</v>
      </c>
      <c r="D20" s="419"/>
      <c r="E20" s="427"/>
      <c r="F20" s="420"/>
      <c r="G20" s="431"/>
      <c r="H20" s="420"/>
      <c r="I20" s="427"/>
      <c r="J20" s="431"/>
    </row>
    <row r="21" spans="1:10" s="329" customFormat="1" ht="40.5" customHeight="1">
      <c r="A21" s="386">
        <v>4</v>
      </c>
      <c r="B21" s="384" t="s">
        <v>275</v>
      </c>
      <c r="C21" s="410" t="s">
        <v>215</v>
      </c>
      <c r="D21" s="388"/>
      <c r="E21" s="426"/>
      <c r="F21" s="425"/>
      <c r="G21" s="433"/>
      <c r="H21" s="425"/>
      <c r="I21" s="426"/>
      <c r="J21" s="433"/>
    </row>
    <row r="22" spans="1:10" ht="30.75" customHeight="1">
      <c r="A22" s="389"/>
      <c r="B22" s="409" t="s">
        <v>272</v>
      </c>
      <c r="C22" s="409" t="s">
        <v>213</v>
      </c>
      <c r="D22" s="414"/>
      <c r="E22" s="429"/>
      <c r="F22" s="415"/>
      <c r="G22" s="415"/>
      <c r="H22" s="415"/>
      <c r="I22" s="429"/>
      <c r="J22" s="430"/>
    </row>
    <row r="23" spans="1:10" ht="30.75" customHeight="1">
      <c r="A23" s="389"/>
      <c r="B23" s="409" t="s">
        <v>240</v>
      </c>
      <c r="C23" s="409" t="s">
        <v>213</v>
      </c>
      <c r="D23" s="414"/>
      <c r="E23" s="429"/>
      <c r="F23" s="415"/>
      <c r="G23" s="430"/>
      <c r="H23" s="415"/>
      <c r="I23" s="429"/>
      <c r="J23" s="430"/>
    </row>
    <row r="24" spans="1:10" s="329" customFormat="1" ht="42.75" customHeight="1">
      <c r="A24" s="386">
        <v>5</v>
      </c>
      <c r="B24" s="387" t="s">
        <v>276</v>
      </c>
      <c r="C24" s="392" t="s">
        <v>215</v>
      </c>
      <c r="D24" s="388"/>
      <c r="E24" s="426"/>
      <c r="F24" s="425"/>
      <c r="G24" s="433"/>
      <c r="H24" s="425"/>
      <c r="I24" s="426"/>
      <c r="J24" s="425"/>
    </row>
    <row r="25" spans="1:10" s="350" customFormat="1" ht="39.75" customHeight="1">
      <c r="A25" s="416"/>
      <c r="B25" s="418" t="s">
        <v>272</v>
      </c>
      <c r="C25" s="409" t="s">
        <v>213</v>
      </c>
      <c r="D25" s="419"/>
      <c r="E25" s="427"/>
      <c r="F25" s="420"/>
      <c r="G25" s="431"/>
      <c r="H25" s="420"/>
      <c r="I25" s="427"/>
      <c r="J25" s="420"/>
    </row>
    <row r="26" spans="1:10" s="350" customFormat="1" ht="39" customHeight="1">
      <c r="A26" s="416"/>
      <c r="B26" s="418" t="s">
        <v>240</v>
      </c>
      <c r="C26" s="409" t="s">
        <v>213</v>
      </c>
      <c r="D26" s="419"/>
      <c r="E26" s="427"/>
      <c r="F26" s="420"/>
      <c r="G26" s="431"/>
      <c r="H26" s="420"/>
      <c r="I26" s="427"/>
      <c r="J26" s="420"/>
    </row>
    <row r="27" spans="1:10" s="329" customFormat="1" ht="34.5" customHeight="1">
      <c r="A27" s="386">
        <v>6</v>
      </c>
      <c r="B27" s="384" t="s">
        <v>717</v>
      </c>
      <c r="C27" s="410" t="s">
        <v>215</v>
      </c>
      <c r="D27" s="388"/>
      <c r="E27" s="426"/>
      <c r="F27" s="425"/>
      <c r="G27" s="433"/>
      <c r="H27" s="425"/>
      <c r="I27" s="426"/>
      <c r="J27" s="433"/>
    </row>
    <row r="28" spans="1:10" s="350" customFormat="1" ht="32.25" customHeight="1">
      <c r="A28" s="416"/>
      <c r="B28" s="418" t="s">
        <v>272</v>
      </c>
      <c r="C28" s="409" t="s">
        <v>213</v>
      </c>
      <c r="D28" s="419"/>
      <c r="E28" s="427"/>
      <c r="F28" s="420"/>
      <c r="G28" s="431"/>
      <c r="H28" s="420"/>
      <c r="I28" s="427"/>
      <c r="J28" s="431"/>
    </row>
    <row r="29" spans="1:10" s="350" customFormat="1" ht="32.25" customHeight="1">
      <c r="A29" s="416"/>
      <c r="B29" s="418" t="s">
        <v>240</v>
      </c>
      <c r="C29" s="409" t="s">
        <v>213</v>
      </c>
      <c r="D29" s="419"/>
      <c r="E29" s="427"/>
      <c r="F29" s="420"/>
      <c r="G29" s="431"/>
      <c r="H29" s="420"/>
      <c r="I29" s="427"/>
      <c r="J29" s="431"/>
    </row>
    <row r="30" spans="1:10" s="329" customFormat="1" ht="36.75" customHeight="1">
      <c r="A30" s="386">
        <v>7</v>
      </c>
      <c r="B30" s="384" t="s">
        <v>277</v>
      </c>
      <c r="C30" s="410" t="s">
        <v>215</v>
      </c>
      <c r="D30" s="388"/>
      <c r="E30" s="519"/>
      <c r="F30" s="425"/>
      <c r="G30" s="433"/>
      <c r="H30" s="520"/>
      <c r="I30" s="519"/>
      <c r="J30" s="433"/>
    </row>
    <row r="31" spans="1:10" s="350" customFormat="1" ht="37.5" customHeight="1">
      <c r="A31" s="416"/>
      <c r="B31" s="418" t="s">
        <v>272</v>
      </c>
      <c r="C31" s="409" t="s">
        <v>6</v>
      </c>
      <c r="D31" s="416"/>
      <c r="E31" s="427"/>
      <c r="F31" s="420"/>
      <c r="G31" s="431"/>
      <c r="H31" s="420"/>
      <c r="I31" s="427"/>
      <c r="J31" s="431"/>
    </row>
    <row r="32" spans="1:10" s="350" customFormat="1" ht="32.25" customHeight="1">
      <c r="A32" s="416"/>
      <c r="B32" s="418" t="s">
        <v>240</v>
      </c>
      <c r="C32" s="409" t="s">
        <v>213</v>
      </c>
      <c r="D32" s="419"/>
      <c r="E32" s="427"/>
      <c r="F32" s="420"/>
      <c r="G32" s="431"/>
      <c r="H32" s="420"/>
      <c r="I32" s="427"/>
      <c r="J32" s="431"/>
    </row>
    <row r="33" spans="1:10" ht="39" customHeight="1">
      <c r="A33" s="382"/>
      <c r="B33" s="1797" t="s">
        <v>718</v>
      </c>
      <c r="C33" s="1797"/>
      <c r="D33" s="1797"/>
      <c r="E33" s="1797"/>
      <c r="F33" s="1797"/>
      <c r="G33" s="1797"/>
      <c r="H33" s="1797"/>
      <c r="I33" s="1797"/>
      <c r="J33" s="1797"/>
    </row>
    <row r="34" spans="1:10" ht="27" customHeight="1">
      <c r="A34" s="382"/>
      <c r="B34" s="1802"/>
      <c r="C34" s="1802"/>
      <c r="D34" s="1802"/>
      <c r="E34" s="1802"/>
      <c r="F34" s="1802"/>
      <c r="G34" s="397"/>
      <c r="H34" s="382"/>
      <c r="I34" s="397"/>
      <c r="J34" s="397"/>
    </row>
    <row r="35" spans="1:10" ht="16.5">
      <c r="A35" s="382"/>
      <c r="C35" s="395"/>
      <c r="D35" s="382"/>
      <c r="E35" s="397"/>
      <c r="F35" s="397"/>
      <c r="G35" s="397"/>
      <c r="H35" s="382"/>
      <c r="I35" s="397"/>
      <c r="J35" s="397"/>
    </row>
    <row r="36" spans="1:10" ht="16.5">
      <c r="A36" s="382"/>
      <c r="B36" s="395"/>
      <c r="C36" s="395"/>
      <c r="D36" s="382"/>
      <c r="E36" s="397"/>
      <c r="F36" s="397"/>
      <c r="G36" s="397"/>
      <c r="H36" s="382"/>
      <c r="I36" s="397"/>
      <c r="J36" s="397"/>
    </row>
    <row r="37" spans="1:10" ht="16.5">
      <c r="A37" s="382"/>
      <c r="B37" s="395"/>
      <c r="C37" s="395"/>
      <c r="D37" s="382"/>
      <c r="E37" s="397"/>
      <c r="F37" s="397"/>
      <c r="G37" s="397"/>
      <c r="H37" s="382"/>
      <c r="I37" s="397"/>
      <c r="J37" s="397"/>
    </row>
    <row r="38" spans="1:10" ht="16.5">
      <c r="A38" s="382"/>
      <c r="B38" s="395"/>
      <c r="C38" s="395"/>
      <c r="D38" s="382"/>
      <c r="E38" s="397"/>
      <c r="F38" s="397"/>
      <c r="G38" s="397"/>
      <c r="H38" s="382"/>
      <c r="I38" s="397"/>
      <c r="J38" s="397"/>
    </row>
    <row r="39" spans="1:10" ht="16.5">
      <c r="A39" s="382"/>
      <c r="B39" s="395"/>
      <c r="C39" s="395"/>
      <c r="D39" s="382"/>
      <c r="E39" s="397"/>
      <c r="F39" s="397"/>
      <c r="G39" s="397"/>
      <c r="H39" s="382"/>
      <c r="I39" s="397"/>
      <c r="J39" s="397"/>
    </row>
    <row r="40" spans="1:10" ht="16.5">
      <c r="A40" s="382"/>
      <c r="B40" s="395"/>
      <c r="C40" s="395"/>
      <c r="D40" s="382"/>
      <c r="E40" s="397"/>
      <c r="F40" s="397"/>
      <c r="G40" s="397"/>
      <c r="H40" s="382"/>
      <c r="I40" s="397"/>
      <c r="J40" s="397"/>
    </row>
    <row r="41" spans="1:10" ht="16.5">
      <c r="A41" s="382"/>
      <c r="B41" s="395"/>
      <c r="C41" s="395"/>
      <c r="D41" s="382"/>
      <c r="E41" s="397"/>
      <c r="F41" s="397"/>
      <c r="G41" s="397"/>
      <c r="H41" s="382"/>
      <c r="I41" s="397"/>
      <c r="J41" s="397"/>
    </row>
    <row r="42" spans="1:10" ht="16.5">
      <c r="A42" s="382"/>
      <c r="B42" s="395"/>
      <c r="C42" s="395"/>
      <c r="D42" s="382"/>
      <c r="E42" s="397"/>
      <c r="F42" s="397"/>
      <c r="G42" s="397"/>
      <c r="H42" s="382"/>
      <c r="I42" s="397"/>
      <c r="J42" s="397"/>
    </row>
    <row r="43" spans="1:10" ht="16.5">
      <c r="A43" s="382"/>
      <c r="B43" s="395"/>
      <c r="C43" s="395"/>
      <c r="D43" s="382"/>
      <c r="E43" s="397"/>
      <c r="F43" s="397"/>
      <c r="G43" s="397"/>
      <c r="H43" s="382"/>
      <c r="I43" s="397"/>
      <c r="J43" s="397"/>
    </row>
    <row r="44" spans="1:10" ht="16.5">
      <c r="A44" s="382"/>
      <c r="B44" s="395"/>
      <c r="C44" s="395"/>
      <c r="D44" s="382"/>
      <c r="E44" s="397"/>
      <c r="F44" s="397"/>
      <c r="G44" s="397"/>
      <c r="H44" s="382"/>
      <c r="I44" s="397"/>
      <c r="J44" s="397"/>
    </row>
    <row r="45" spans="1:10" ht="16.5">
      <c r="A45" s="382"/>
      <c r="B45" s="395"/>
      <c r="C45" s="395"/>
      <c r="D45" s="382"/>
      <c r="E45" s="397"/>
      <c r="F45" s="397"/>
      <c r="G45" s="397"/>
      <c r="H45" s="382"/>
      <c r="I45" s="397"/>
      <c r="J45" s="397"/>
    </row>
    <row r="46" spans="1:10" ht="16.5">
      <c r="A46" s="382"/>
      <c r="B46" s="395"/>
      <c r="C46" s="395"/>
      <c r="D46" s="382"/>
      <c r="E46" s="397"/>
      <c r="F46" s="397"/>
      <c r="G46" s="397"/>
      <c r="H46" s="382"/>
      <c r="I46" s="397"/>
      <c r="J46" s="397"/>
    </row>
    <row r="47" spans="1:10" ht="16.5">
      <c r="A47" s="382"/>
      <c r="B47" s="395"/>
      <c r="C47" s="395"/>
      <c r="D47" s="382"/>
      <c r="E47" s="397"/>
      <c r="F47" s="397"/>
      <c r="G47" s="397"/>
      <c r="H47" s="382"/>
      <c r="I47" s="397"/>
      <c r="J47" s="397"/>
    </row>
    <row r="48" spans="1:10" ht="16.5">
      <c r="A48" s="382"/>
      <c r="B48" s="395"/>
      <c r="C48" s="395"/>
      <c r="D48" s="382"/>
      <c r="E48" s="397"/>
      <c r="F48" s="397"/>
      <c r="G48" s="397"/>
      <c r="H48" s="382"/>
      <c r="I48" s="397"/>
      <c r="J48" s="397"/>
    </row>
    <row r="49" spans="1:10" ht="16.5">
      <c r="A49" s="382"/>
      <c r="B49" s="395"/>
      <c r="C49" s="395"/>
      <c r="D49" s="382"/>
      <c r="E49" s="397"/>
      <c r="F49" s="397"/>
      <c r="G49" s="397"/>
      <c r="H49" s="382"/>
      <c r="I49" s="397"/>
      <c r="J49" s="397"/>
    </row>
    <row r="50" spans="1:10" ht="16.5">
      <c r="A50" s="382"/>
      <c r="B50" s="395"/>
      <c r="C50" s="395"/>
      <c r="D50" s="382"/>
      <c r="E50" s="397"/>
      <c r="F50" s="397"/>
      <c r="G50" s="397"/>
      <c r="H50" s="382"/>
      <c r="I50" s="397"/>
      <c r="J50" s="397"/>
    </row>
    <row r="51" spans="1:10" ht="16.5">
      <c r="A51" s="382"/>
      <c r="B51" s="395"/>
      <c r="C51" s="395"/>
      <c r="D51" s="382"/>
      <c r="E51" s="397"/>
      <c r="F51" s="397"/>
      <c r="G51" s="397"/>
      <c r="H51" s="382"/>
      <c r="I51" s="397"/>
      <c r="J51" s="397"/>
    </row>
    <row r="52" spans="1:10" ht="16.5">
      <c r="A52" s="382"/>
      <c r="B52" s="395"/>
      <c r="C52" s="395"/>
      <c r="D52" s="382"/>
      <c r="E52" s="397"/>
      <c r="F52" s="397"/>
      <c r="G52" s="397"/>
      <c r="H52" s="382"/>
      <c r="I52" s="397"/>
      <c r="J52" s="397"/>
    </row>
    <row r="53" spans="1:10" ht="16.5">
      <c r="A53" s="382"/>
      <c r="B53" s="395"/>
      <c r="C53" s="395"/>
      <c r="D53" s="382"/>
      <c r="E53" s="397"/>
      <c r="F53" s="397"/>
      <c r="G53" s="397"/>
      <c r="H53" s="382"/>
      <c r="I53" s="397"/>
      <c r="J53" s="397"/>
    </row>
    <row r="54" spans="1:10" ht="16.5">
      <c r="A54" s="382"/>
      <c r="B54" s="395"/>
      <c r="C54" s="395"/>
      <c r="D54" s="382"/>
      <c r="E54" s="397"/>
      <c r="F54" s="397"/>
      <c r="G54" s="397"/>
      <c r="H54" s="382"/>
      <c r="I54" s="397"/>
      <c r="J54" s="397"/>
    </row>
    <row r="55" spans="1:10" ht="16.5">
      <c r="A55" s="382"/>
      <c r="B55" s="395"/>
      <c r="C55" s="395"/>
      <c r="D55" s="382"/>
      <c r="E55" s="397"/>
      <c r="F55" s="397"/>
      <c r="G55" s="397"/>
      <c r="H55" s="382"/>
      <c r="I55" s="397"/>
      <c r="J55" s="397"/>
    </row>
    <row r="56" spans="1:10" ht="16.5">
      <c r="A56" s="382"/>
      <c r="B56" s="395"/>
      <c r="C56" s="395"/>
      <c r="D56" s="382"/>
      <c r="E56" s="397"/>
      <c r="F56" s="397"/>
      <c r="G56" s="397"/>
      <c r="H56" s="382"/>
      <c r="I56" s="397"/>
      <c r="J56" s="397"/>
    </row>
    <row r="57" spans="1:10" ht="16.5">
      <c r="A57" s="382"/>
      <c r="B57" s="395"/>
      <c r="C57" s="395"/>
      <c r="D57" s="382"/>
      <c r="E57" s="397"/>
      <c r="F57" s="397"/>
      <c r="G57" s="397"/>
      <c r="H57" s="382"/>
      <c r="I57" s="397"/>
      <c r="J57" s="397"/>
    </row>
    <row r="58" spans="1:10" ht="16.5">
      <c r="A58" s="382"/>
      <c r="B58" s="395"/>
      <c r="C58" s="395"/>
      <c r="D58" s="382"/>
      <c r="E58" s="397"/>
      <c r="F58" s="397"/>
      <c r="G58" s="397"/>
      <c r="H58" s="382"/>
      <c r="I58" s="397"/>
      <c r="J58" s="397"/>
    </row>
    <row r="59" spans="1:10" ht="16.5">
      <c r="A59" s="382"/>
      <c r="B59" s="395"/>
      <c r="C59" s="395"/>
      <c r="D59" s="382"/>
      <c r="E59" s="397"/>
      <c r="F59" s="397"/>
      <c r="G59" s="397"/>
      <c r="H59" s="382"/>
      <c r="I59" s="397"/>
      <c r="J59" s="397"/>
    </row>
    <row r="60" spans="1:10" ht="16.5">
      <c r="A60" s="382"/>
      <c r="B60" s="395"/>
      <c r="C60" s="395"/>
      <c r="D60" s="382"/>
      <c r="E60" s="397"/>
      <c r="F60" s="397"/>
      <c r="G60" s="397"/>
      <c r="H60" s="382"/>
      <c r="I60" s="397"/>
      <c r="J60" s="397"/>
    </row>
    <row r="61" spans="1:10" ht="16.5">
      <c r="A61" s="382"/>
      <c r="B61" s="395"/>
      <c r="C61" s="395"/>
      <c r="D61" s="382"/>
      <c r="E61" s="397"/>
      <c r="F61" s="397"/>
      <c r="G61" s="397"/>
      <c r="H61" s="382"/>
      <c r="I61" s="397"/>
      <c r="J61" s="397"/>
    </row>
    <row r="62" spans="1:10" ht="16.5">
      <c r="A62" s="382"/>
      <c r="B62" s="395"/>
      <c r="C62" s="395"/>
      <c r="D62" s="382"/>
      <c r="E62" s="397"/>
      <c r="F62" s="397"/>
      <c r="G62" s="397"/>
      <c r="H62" s="382"/>
      <c r="I62" s="397"/>
      <c r="J62" s="397"/>
    </row>
    <row r="63" spans="1:10" ht="16.5">
      <c r="A63" s="382"/>
      <c r="B63" s="395"/>
      <c r="C63" s="395"/>
      <c r="D63" s="382"/>
      <c r="E63" s="397"/>
      <c r="F63" s="397"/>
      <c r="G63" s="397"/>
      <c r="H63" s="382"/>
      <c r="I63" s="397"/>
      <c r="J63" s="397"/>
    </row>
    <row r="64" spans="1:10" ht="16.5">
      <c r="A64" s="382"/>
      <c r="B64" s="395"/>
      <c r="C64" s="395"/>
      <c r="D64" s="382"/>
      <c r="E64" s="397"/>
      <c r="F64" s="397"/>
      <c r="G64" s="397"/>
      <c r="H64" s="382"/>
      <c r="I64" s="397"/>
      <c r="J64" s="397"/>
    </row>
    <row r="65" spans="1:10" ht="16.5">
      <c r="A65" s="382"/>
      <c r="B65" s="395"/>
      <c r="C65" s="395"/>
      <c r="D65" s="382"/>
      <c r="E65" s="397"/>
      <c r="F65" s="397"/>
      <c r="G65" s="397"/>
      <c r="H65" s="382"/>
      <c r="I65" s="397"/>
      <c r="J65" s="397"/>
    </row>
    <row r="66" spans="1:10" ht="16.5">
      <c r="A66" s="382"/>
      <c r="B66" s="395"/>
      <c r="C66" s="395"/>
      <c r="D66" s="382"/>
      <c r="E66" s="397"/>
      <c r="F66" s="397"/>
      <c r="G66" s="397"/>
      <c r="H66" s="382"/>
      <c r="I66" s="397"/>
      <c r="J66" s="397"/>
    </row>
    <row r="67" spans="1:10" ht="16.5">
      <c r="A67" s="382"/>
      <c r="B67" s="395"/>
      <c r="C67" s="395"/>
      <c r="D67" s="382"/>
      <c r="E67" s="397"/>
      <c r="F67" s="397"/>
      <c r="G67" s="397"/>
      <c r="H67" s="382"/>
      <c r="I67" s="397"/>
      <c r="J67" s="397"/>
    </row>
    <row r="68" spans="1:10" ht="16.5">
      <c r="A68" s="382"/>
      <c r="B68" s="395"/>
      <c r="C68" s="395"/>
      <c r="D68" s="382"/>
      <c r="E68" s="397"/>
      <c r="F68" s="397"/>
      <c r="G68" s="397"/>
      <c r="H68" s="382"/>
      <c r="I68" s="397"/>
      <c r="J68" s="397"/>
    </row>
    <row r="69" spans="1:10" ht="16.5">
      <c r="A69" s="382"/>
      <c r="B69" s="395"/>
      <c r="C69" s="395"/>
      <c r="D69" s="382"/>
      <c r="E69" s="397"/>
      <c r="F69" s="397"/>
      <c r="G69" s="397"/>
      <c r="H69" s="382"/>
      <c r="I69" s="397"/>
      <c r="J69" s="397"/>
    </row>
    <row r="70" spans="1:10" ht="16.5">
      <c r="A70" s="382"/>
      <c r="B70" s="395"/>
      <c r="C70" s="395"/>
      <c r="D70" s="382"/>
      <c r="E70" s="397"/>
      <c r="F70" s="397"/>
      <c r="G70" s="397"/>
      <c r="H70" s="382"/>
      <c r="I70" s="397"/>
      <c r="J70" s="397"/>
    </row>
    <row r="71" spans="1:10" ht="16.5">
      <c r="A71" s="382"/>
      <c r="B71" s="395"/>
      <c r="C71" s="395"/>
      <c r="D71" s="382"/>
      <c r="E71" s="397"/>
      <c r="F71" s="397"/>
      <c r="G71" s="397"/>
      <c r="H71" s="382"/>
      <c r="I71" s="397"/>
      <c r="J71" s="397"/>
    </row>
    <row r="72" spans="1:10" ht="16.5">
      <c r="A72" s="382"/>
      <c r="B72" s="395"/>
      <c r="C72" s="395"/>
      <c r="D72" s="382"/>
      <c r="E72" s="397"/>
      <c r="F72" s="397"/>
      <c r="G72" s="397"/>
      <c r="H72" s="382"/>
      <c r="I72" s="397"/>
      <c r="J72" s="397"/>
    </row>
    <row r="73" spans="1:10" ht="16.5">
      <c r="A73" s="382"/>
      <c r="B73" s="395"/>
      <c r="C73" s="395"/>
      <c r="D73" s="382"/>
      <c r="E73" s="397"/>
      <c r="F73" s="397"/>
      <c r="G73" s="397"/>
      <c r="H73" s="382"/>
      <c r="I73" s="397"/>
      <c r="J73" s="397"/>
    </row>
    <row r="74" spans="1:10" ht="16.5">
      <c r="A74" s="382"/>
      <c r="B74" s="395"/>
      <c r="C74" s="395"/>
      <c r="D74" s="382"/>
      <c r="E74" s="397"/>
      <c r="F74" s="397"/>
      <c r="G74" s="397"/>
      <c r="H74" s="382"/>
      <c r="I74" s="397"/>
      <c r="J74" s="397"/>
    </row>
    <row r="75" spans="1:10" ht="16.5">
      <c r="A75" s="382"/>
      <c r="B75" s="395"/>
      <c r="C75" s="395"/>
      <c r="D75" s="382"/>
      <c r="E75" s="397"/>
      <c r="F75" s="397"/>
      <c r="G75" s="397"/>
      <c r="H75" s="382"/>
      <c r="I75" s="397"/>
      <c r="J75" s="397"/>
    </row>
    <row r="76" spans="1:10" ht="16.5">
      <c r="A76" s="382"/>
      <c r="B76" s="395"/>
      <c r="C76" s="395"/>
      <c r="D76" s="382"/>
      <c r="E76" s="397"/>
      <c r="F76" s="397"/>
      <c r="G76" s="397"/>
      <c r="H76" s="382"/>
      <c r="I76" s="397"/>
      <c r="J76" s="397"/>
    </row>
    <row r="77" spans="1:10" ht="16.5">
      <c r="A77" s="382"/>
      <c r="B77" s="395"/>
      <c r="C77" s="395"/>
      <c r="D77" s="382"/>
      <c r="E77" s="397"/>
      <c r="F77" s="397"/>
      <c r="G77" s="397"/>
      <c r="H77" s="382"/>
      <c r="I77" s="397"/>
      <c r="J77" s="397"/>
    </row>
    <row r="78" spans="1:10" ht="16.5">
      <c r="A78" s="382"/>
      <c r="B78" s="395"/>
      <c r="C78" s="395"/>
      <c r="D78" s="382"/>
      <c r="E78" s="397"/>
      <c r="F78" s="397"/>
      <c r="G78" s="397"/>
      <c r="H78" s="382"/>
      <c r="I78" s="397"/>
      <c r="J78" s="397"/>
    </row>
    <row r="79" spans="1:10" ht="16.5">
      <c r="A79" s="382"/>
      <c r="B79" s="395"/>
      <c r="C79" s="395"/>
      <c r="D79" s="382"/>
      <c r="E79" s="397"/>
      <c r="F79" s="397"/>
      <c r="G79" s="397"/>
      <c r="H79" s="382"/>
      <c r="I79" s="397"/>
      <c r="J79" s="397"/>
    </row>
    <row r="80" spans="1:10" ht="16.5">
      <c r="A80" s="382"/>
      <c r="B80" s="395"/>
      <c r="C80" s="395"/>
      <c r="D80" s="382"/>
      <c r="E80" s="397"/>
      <c r="F80" s="397"/>
      <c r="G80" s="397"/>
      <c r="H80" s="382"/>
      <c r="I80" s="397"/>
      <c r="J80" s="397"/>
    </row>
    <row r="81" spans="1:10" ht="16.5">
      <c r="A81" s="382"/>
      <c r="B81" s="395"/>
      <c r="C81" s="395"/>
      <c r="D81" s="382"/>
      <c r="E81" s="397"/>
      <c r="F81" s="397"/>
      <c r="G81" s="397"/>
      <c r="H81" s="382"/>
      <c r="I81" s="397"/>
      <c r="J81" s="397"/>
    </row>
    <row r="82" spans="1:10" ht="16.5">
      <c r="A82" s="382"/>
      <c r="B82" s="395"/>
      <c r="C82" s="395"/>
      <c r="D82" s="382"/>
      <c r="E82" s="397"/>
      <c r="F82" s="397"/>
      <c r="G82" s="397"/>
      <c r="H82" s="382"/>
      <c r="I82" s="397"/>
      <c r="J82" s="397"/>
    </row>
    <row r="83" spans="1:10" ht="16.5">
      <c r="A83" s="382"/>
      <c r="B83" s="395"/>
      <c r="C83" s="395"/>
      <c r="D83" s="382"/>
      <c r="E83" s="397"/>
      <c r="F83" s="397"/>
      <c r="G83" s="397"/>
      <c r="H83" s="382"/>
      <c r="I83" s="397"/>
      <c r="J83" s="397"/>
    </row>
    <row r="84" spans="1:10" ht="16.5">
      <c r="A84" s="382"/>
      <c r="B84" s="395"/>
      <c r="C84" s="395"/>
      <c r="D84" s="382"/>
      <c r="E84" s="397"/>
      <c r="F84" s="397"/>
      <c r="G84" s="397"/>
      <c r="H84" s="382"/>
      <c r="I84" s="397"/>
      <c r="J84" s="397"/>
    </row>
    <row r="85" spans="1:10" ht="16.5">
      <c r="A85" s="382"/>
      <c r="B85" s="395"/>
      <c r="C85" s="395"/>
      <c r="D85" s="382"/>
      <c r="E85" s="397"/>
      <c r="F85" s="397"/>
      <c r="G85" s="397"/>
      <c r="H85" s="382"/>
      <c r="I85" s="397"/>
      <c r="J85" s="397"/>
    </row>
    <row r="86" spans="1:10" ht="16.5">
      <c r="A86" s="382"/>
      <c r="B86" s="395"/>
      <c r="C86" s="395"/>
      <c r="D86" s="382"/>
      <c r="E86" s="397"/>
      <c r="F86" s="397"/>
      <c r="G86" s="397"/>
      <c r="H86" s="382"/>
      <c r="I86" s="397"/>
      <c r="J86" s="397"/>
    </row>
    <row r="87" spans="1:10" ht="16.5">
      <c r="A87" s="382"/>
      <c r="B87" s="395"/>
      <c r="C87" s="395"/>
      <c r="D87" s="382"/>
      <c r="E87" s="397"/>
      <c r="F87" s="397"/>
      <c r="G87" s="397"/>
      <c r="H87" s="382"/>
      <c r="I87" s="397"/>
      <c r="J87" s="397"/>
    </row>
    <row r="88" spans="1:10" ht="16.5">
      <c r="A88" s="382"/>
      <c r="B88" s="395"/>
      <c r="C88" s="395"/>
      <c r="D88" s="382"/>
      <c r="E88" s="397"/>
      <c r="F88" s="397"/>
      <c r="G88" s="397"/>
      <c r="H88" s="382"/>
      <c r="I88" s="397"/>
      <c r="J88" s="397"/>
    </row>
    <row r="89" spans="1:10" ht="16.5">
      <c r="A89" s="382"/>
      <c r="B89" s="395"/>
      <c r="C89" s="395"/>
      <c r="D89" s="382"/>
      <c r="E89" s="397"/>
      <c r="F89" s="397"/>
      <c r="G89" s="397"/>
      <c r="H89" s="382"/>
      <c r="I89" s="397"/>
      <c r="J89" s="397"/>
    </row>
    <row r="90" spans="1:10" ht="16.5">
      <c r="A90" s="382"/>
      <c r="B90" s="395"/>
      <c r="C90" s="395"/>
      <c r="D90" s="382"/>
      <c r="E90" s="397"/>
      <c r="F90" s="397"/>
      <c r="G90" s="397"/>
      <c r="H90" s="382"/>
      <c r="I90" s="397"/>
      <c r="J90" s="397"/>
    </row>
    <row r="91" spans="1:10" ht="16.5">
      <c r="A91" s="382"/>
      <c r="B91" s="395"/>
      <c r="C91" s="395"/>
      <c r="D91" s="382"/>
      <c r="E91" s="397"/>
      <c r="F91" s="397"/>
      <c r="G91" s="397"/>
      <c r="H91" s="382"/>
      <c r="I91" s="397"/>
      <c r="J91" s="397"/>
    </row>
    <row r="92" spans="1:10" ht="16.5">
      <c r="A92" s="382"/>
      <c r="B92" s="395"/>
      <c r="C92" s="395"/>
      <c r="D92" s="382"/>
      <c r="E92" s="397"/>
      <c r="F92" s="397"/>
      <c r="G92" s="397"/>
      <c r="H92" s="382"/>
      <c r="I92" s="397"/>
      <c r="J92" s="397"/>
    </row>
    <row r="93" spans="1:10" ht="16.5">
      <c r="A93" s="382"/>
      <c r="B93" s="395"/>
      <c r="C93" s="395"/>
      <c r="D93" s="382"/>
      <c r="E93" s="397"/>
      <c r="F93" s="397"/>
      <c r="G93" s="397"/>
      <c r="H93" s="382"/>
      <c r="I93" s="397"/>
      <c r="J93" s="397"/>
    </row>
    <row r="94" spans="1:10" ht="16.5">
      <c r="A94" s="382"/>
      <c r="B94" s="395"/>
      <c r="C94" s="395"/>
      <c r="D94" s="382"/>
      <c r="E94" s="397"/>
      <c r="F94" s="397"/>
      <c r="G94" s="397"/>
      <c r="H94" s="382"/>
      <c r="I94" s="397"/>
      <c r="J94" s="397"/>
    </row>
    <row r="95" spans="1:10" ht="16.5">
      <c r="A95" s="382"/>
      <c r="B95" s="395"/>
      <c r="C95" s="395"/>
      <c r="D95" s="382"/>
      <c r="E95" s="397"/>
      <c r="F95" s="397"/>
      <c r="G95" s="397"/>
      <c r="H95" s="382"/>
      <c r="I95" s="397"/>
      <c r="J95" s="397"/>
    </row>
    <row r="96" spans="1:10" ht="16.5">
      <c r="A96" s="382"/>
      <c r="B96" s="395"/>
      <c r="C96" s="395"/>
      <c r="D96" s="382"/>
      <c r="E96" s="397"/>
      <c r="F96" s="397"/>
      <c r="G96" s="397"/>
      <c r="H96" s="382"/>
      <c r="I96" s="397"/>
      <c r="J96" s="397"/>
    </row>
    <row r="97" spans="1:10" ht="16.5">
      <c r="A97" s="382"/>
      <c r="B97" s="395"/>
      <c r="C97" s="395"/>
      <c r="D97" s="382"/>
      <c r="E97" s="397"/>
      <c r="F97" s="397"/>
      <c r="G97" s="397"/>
      <c r="H97" s="382"/>
      <c r="I97" s="397"/>
      <c r="J97" s="397"/>
    </row>
    <row r="98" spans="1:10" ht="16.5">
      <c r="A98" s="382"/>
      <c r="B98" s="395"/>
      <c r="C98" s="395"/>
      <c r="D98" s="382"/>
      <c r="E98" s="397"/>
      <c r="F98" s="397"/>
      <c r="G98" s="397"/>
      <c r="H98" s="382"/>
      <c r="I98" s="397"/>
      <c r="J98" s="397"/>
    </row>
    <row r="99" spans="1:10" ht="16.5">
      <c r="A99" s="382"/>
      <c r="B99" s="395"/>
      <c r="C99" s="395"/>
      <c r="D99" s="382"/>
      <c r="E99" s="397"/>
      <c r="F99" s="397"/>
      <c r="G99" s="397"/>
      <c r="H99" s="382"/>
      <c r="I99" s="397"/>
      <c r="J99" s="397"/>
    </row>
    <row r="100" spans="1:10" ht="16.5">
      <c r="A100" s="382"/>
      <c r="B100" s="395"/>
      <c r="C100" s="395"/>
      <c r="D100" s="382"/>
      <c r="E100" s="397"/>
      <c r="F100" s="397"/>
      <c r="G100" s="397"/>
      <c r="H100" s="382"/>
      <c r="I100" s="397"/>
      <c r="J100" s="397"/>
    </row>
    <row r="101" spans="1:10" ht="16.5">
      <c r="A101" s="382"/>
      <c r="B101" s="395"/>
      <c r="C101" s="395"/>
      <c r="D101" s="382"/>
      <c r="E101" s="397"/>
      <c r="F101" s="397"/>
      <c r="G101" s="397"/>
      <c r="H101" s="382"/>
      <c r="I101" s="397"/>
      <c r="J101" s="397"/>
    </row>
    <row r="102" spans="1:10" ht="16.5">
      <c r="A102" s="382"/>
      <c r="B102" s="395"/>
      <c r="C102" s="395"/>
      <c r="D102" s="382"/>
      <c r="E102" s="397"/>
      <c r="F102" s="397"/>
      <c r="G102" s="397"/>
      <c r="H102" s="382"/>
      <c r="I102" s="397"/>
      <c r="J102" s="397"/>
    </row>
    <row r="103" spans="1:10" ht="16.5">
      <c r="A103" s="382"/>
      <c r="B103" s="395"/>
      <c r="C103" s="395"/>
      <c r="D103" s="382"/>
      <c r="E103" s="397"/>
      <c r="F103" s="397"/>
      <c r="G103" s="397"/>
      <c r="H103" s="382"/>
      <c r="I103" s="397"/>
      <c r="J103" s="397"/>
    </row>
    <row r="104" spans="1:10" ht="16.5">
      <c r="A104" s="382"/>
      <c r="B104" s="395"/>
      <c r="C104" s="395"/>
      <c r="D104" s="382"/>
      <c r="E104" s="397"/>
      <c r="F104" s="397"/>
      <c r="G104" s="397"/>
      <c r="H104" s="382"/>
      <c r="I104" s="397"/>
      <c r="J104" s="397"/>
    </row>
    <row r="105" spans="1:10" ht="16.5">
      <c r="A105" s="382"/>
      <c r="B105" s="395"/>
      <c r="C105" s="395"/>
      <c r="D105" s="382"/>
      <c r="E105" s="397"/>
      <c r="F105" s="397"/>
      <c r="G105" s="397"/>
      <c r="H105" s="382"/>
      <c r="I105" s="397"/>
      <c r="J105" s="397"/>
    </row>
    <row r="106" spans="1:10" ht="16.5">
      <c r="A106" s="382"/>
      <c r="B106" s="395"/>
      <c r="C106" s="395"/>
      <c r="D106" s="382"/>
      <c r="E106" s="397"/>
      <c r="F106" s="397"/>
      <c r="G106" s="397"/>
      <c r="H106" s="382"/>
      <c r="I106" s="397"/>
      <c r="J106" s="397"/>
    </row>
    <row r="107" spans="1:10" ht="16.5">
      <c r="A107" s="382"/>
      <c r="B107" s="395"/>
      <c r="C107" s="395"/>
      <c r="D107" s="382"/>
      <c r="E107" s="397"/>
      <c r="F107" s="397"/>
      <c r="G107" s="397"/>
      <c r="H107" s="382"/>
      <c r="I107" s="397"/>
      <c r="J107" s="397"/>
    </row>
    <row r="108" spans="1:10" ht="16.5">
      <c r="A108" s="382"/>
      <c r="B108" s="395"/>
      <c r="C108" s="395"/>
      <c r="D108" s="382"/>
      <c r="E108" s="397"/>
      <c r="F108" s="397"/>
      <c r="G108" s="397"/>
      <c r="H108" s="382"/>
      <c r="I108" s="397"/>
      <c r="J108" s="397"/>
    </row>
    <row r="109" spans="1:10" ht="16.5">
      <c r="A109" s="382"/>
      <c r="B109" s="395"/>
      <c r="C109" s="395"/>
      <c r="D109" s="382"/>
      <c r="E109" s="397"/>
      <c r="F109" s="397"/>
      <c r="G109" s="397"/>
      <c r="H109" s="382"/>
      <c r="I109" s="397"/>
      <c r="J109" s="397"/>
    </row>
    <row r="110" spans="1:10" ht="16.5">
      <c r="A110" s="382"/>
      <c r="B110" s="395"/>
      <c r="C110" s="395"/>
      <c r="D110" s="382"/>
      <c r="E110" s="397"/>
      <c r="F110" s="397"/>
      <c r="G110" s="397"/>
      <c r="H110" s="382"/>
      <c r="I110" s="397"/>
      <c r="J110" s="397"/>
    </row>
    <row r="111" spans="1:10" ht="16.5">
      <c r="A111" s="382"/>
      <c r="B111" s="395"/>
      <c r="C111" s="395"/>
      <c r="D111" s="382"/>
      <c r="E111" s="397"/>
      <c r="F111" s="397"/>
      <c r="G111" s="397"/>
      <c r="H111" s="382"/>
      <c r="I111" s="397"/>
      <c r="J111" s="397"/>
    </row>
    <row r="112" spans="1:10" ht="16.5">
      <c r="A112" s="382"/>
      <c r="B112" s="395"/>
      <c r="C112" s="395"/>
      <c r="D112" s="382"/>
      <c r="E112" s="397"/>
      <c r="F112" s="397"/>
      <c r="G112" s="397"/>
      <c r="H112" s="382"/>
      <c r="I112" s="397"/>
      <c r="J112" s="397"/>
    </row>
    <row r="113" spans="1:10" ht="16.5">
      <c r="A113" s="382"/>
      <c r="B113" s="395"/>
      <c r="C113" s="395"/>
      <c r="D113" s="382"/>
      <c r="E113" s="397"/>
      <c r="F113" s="397"/>
      <c r="G113" s="397"/>
      <c r="H113" s="382"/>
      <c r="I113" s="397"/>
      <c r="J113" s="397"/>
    </row>
    <row r="114" spans="1:10" ht="16.5">
      <c r="A114" s="382"/>
      <c r="B114" s="395"/>
      <c r="C114" s="395"/>
      <c r="D114" s="382"/>
      <c r="E114" s="397"/>
      <c r="F114" s="397"/>
      <c r="G114" s="397"/>
      <c r="H114" s="382"/>
      <c r="I114" s="397"/>
      <c r="J114" s="397"/>
    </row>
    <row r="115" spans="1:10" ht="16.5">
      <c r="A115" s="382"/>
      <c r="B115" s="395"/>
      <c r="C115" s="395"/>
      <c r="D115" s="382"/>
      <c r="E115" s="397"/>
      <c r="F115" s="397"/>
      <c r="G115" s="397"/>
      <c r="H115" s="382"/>
      <c r="I115" s="397"/>
      <c r="J115" s="397"/>
    </row>
    <row r="116" spans="1:10" ht="16.5">
      <c r="A116" s="382"/>
      <c r="B116" s="395"/>
      <c r="C116" s="395"/>
      <c r="D116" s="382"/>
      <c r="E116" s="397"/>
      <c r="F116" s="397"/>
      <c r="G116" s="397"/>
      <c r="H116" s="382"/>
      <c r="I116" s="397"/>
      <c r="J116" s="397"/>
    </row>
    <row r="117" spans="1:10" ht="16.5">
      <c r="A117" s="382"/>
      <c r="B117" s="395"/>
      <c r="C117" s="395"/>
      <c r="D117" s="382"/>
      <c r="E117" s="397"/>
      <c r="F117" s="397"/>
      <c r="G117" s="397"/>
      <c r="H117" s="382"/>
      <c r="I117" s="397"/>
      <c r="J117" s="397"/>
    </row>
    <row r="118" spans="1:10" ht="16.5">
      <c r="A118" s="382"/>
      <c r="B118" s="395"/>
      <c r="C118" s="395"/>
      <c r="D118" s="382"/>
      <c r="E118" s="397"/>
      <c r="F118" s="397"/>
      <c r="G118" s="397"/>
      <c r="H118" s="382"/>
      <c r="I118" s="397"/>
      <c r="J118" s="397"/>
    </row>
    <row r="119" spans="1:10" ht="16.5">
      <c r="A119" s="382"/>
      <c r="B119" s="395"/>
      <c r="C119" s="395"/>
      <c r="D119" s="382"/>
      <c r="E119" s="397"/>
      <c r="F119" s="397"/>
      <c r="G119" s="397"/>
      <c r="H119" s="382"/>
      <c r="I119" s="397"/>
      <c r="J119" s="397"/>
    </row>
    <row r="120" spans="1:10" ht="16.5">
      <c r="A120" s="382"/>
      <c r="B120" s="395"/>
      <c r="C120" s="395"/>
      <c r="D120" s="382"/>
      <c r="E120" s="397"/>
      <c r="F120" s="397"/>
      <c r="G120" s="397"/>
      <c r="H120" s="382"/>
      <c r="I120" s="397"/>
      <c r="J120" s="397"/>
    </row>
    <row r="121" spans="1:10" ht="16.5">
      <c r="A121" s="382"/>
      <c r="B121" s="395"/>
      <c r="C121" s="395"/>
      <c r="D121" s="382"/>
      <c r="E121" s="397"/>
      <c r="F121" s="397"/>
      <c r="G121" s="397"/>
      <c r="H121" s="382"/>
      <c r="I121" s="397"/>
      <c r="J121" s="397"/>
    </row>
    <row r="122" spans="1:10" ht="16.5">
      <c r="A122" s="382"/>
      <c r="B122" s="395"/>
      <c r="C122" s="395"/>
      <c r="D122" s="382"/>
      <c r="E122" s="397"/>
      <c r="F122" s="397"/>
      <c r="G122" s="397"/>
      <c r="H122" s="382"/>
      <c r="I122" s="397"/>
      <c r="J122" s="397"/>
    </row>
    <row r="123" spans="1:10" ht="16.5">
      <c r="A123" s="382"/>
      <c r="B123" s="395"/>
      <c r="C123" s="395"/>
      <c r="D123" s="382"/>
      <c r="E123" s="397"/>
      <c r="F123" s="397"/>
      <c r="G123" s="397"/>
      <c r="H123" s="382"/>
      <c r="I123" s="397"/>
      <c r="J123" s="397"/>
    </row>
    <row r="124" spans="1:10" ht="16.5">
      <c r="A124" s="382"/>
      <c r="B124" s="395"/>
      <c r="C124" s="395"/>
      <c r="D124" s="382"/>
      <c r="E124" s="397"/>
      <c r="F124" s="397"/>
      <c r="G124" s="397"/>
      <c r="H124" s="382"/>
      <c r="I124" s="397"/>
      <c r="J124" s="397"/>
    </row>
    <row r="125" spans="1:10" ht="16.5">
      <c r="A125" s="382"/>
      <c r="B125" s="395"/>
      <c r="C125" s="395"/>
      <c r="D125" s="382"/>
      <c r="E125" s="397"/>
      <c r="F125" s="397"/>
      <c r="G125" s="397"/>
      <c r="H125" s="382"/>
      <c r="I125" s="397"/>
      <c r="J125" s="397"/>
    </row>
    <row r="126" spans="1:10" ht="16.5">
      <c r="A126" s="382"/>
      <c r="B126" s="395"/>
      <c r="C126" s="395"/>
      <c r="D126" s="382"/>
      <c r="E126" s="397"/>
      <c r="F126" s="397"/>
      <c r="G126" s="397"/>
      <c r="H126" s="382"/>
      <c r="I126" s="397"/>
      <c r="J126" s="397"/>
    </row>
    <row r="127" spans="1:10" ht="16.5">
      <c r="A127" s="382"/>
      <c r="B127" s="395"/>
      <c r="C127" s="395"/>
      <c r="D127" s="382"/>
      <c r="E127" s="397"/>
      <c r="F127" s="397"/>
      <c r="G127" s="397"/>
      <c r="H127" s="382"/>
      <c r="I127" s="397"/>
      <c r="J127" s="397"/>
    </row>
    <row r="128" spans="1:10" ht="16.5">
      <c r="A128" s="382"/>
      <c r="B128" s="395"/>
      <c r="C128" s="395"/>
      <c r="D128" s="382"/>
      <c r="E128" s="397"/>
      <c r="F128" s="397"/>
      <c r="G128" s="397"/>
      <c r="H128" s="382"/>
      <c r="I128" s="397"/>
      <c r="J128" s="397"/>
    </row>
    <row r="129" spans="1:10" ht="16.5">
      <c r="A129" s="382"/>
      <c r="B129" s="395"/>
      <c r="C129" s="395"/>
      <c r="D129" s="382"/>
      <c r="E129" s="397"/>
      <c r="F129" s="397"/>
      <c r="G129" s="397"/>
      <c r="H129" s="382"/>
      <c r="I129" s="397"/>
      <c r="J129" s="397"/>
    </row>
    <row r="130" spans="1:10" ht="16.5">
      <c r="A130" s="382"/>
      <c r="B130" s="395"/>
      <c r="C130" s="395"/>
      <c r="D130" s="382"/>
      <c r="E130" s="397"/>
      <c r="F130" s="397"/>
      <c r="G130" s="397"/>
      <c r="H130" s="382"/>
      <c r="I130" s="397"/>
      <c r="J130" s="397"/>
    </row>
    <row r="131" spans="1:10" ht="16.5">
      <c r="A131" s="382"/>
      <c r="B131" s="395"/>
      <c r="C131" s="395"/>
      <c r="D131" s="382"/>
      <c r="E131" s="397"/>
      <c r="F131" s="397"/>
      <c r="G131" s="397"/>
      <c r="H131" s="382"/>
      <c r="I131" s="397"/>
      <c r="J131" s="397"/>
    </row>
    <row r="132" spans="1:10" ht="16.5">
      <c r="A132" s="382"/>
      <c r="B132" s="395"/>
      <c r="C132" s="395"/>
      <c r="D132" s="382"/>
      <c r="E132" s="397"/>
      <c r="F132" s="397"/>
      <c r="G132" s="397"/>
      <c r="H132" s="382"/>
      <c r="I132" s="397"/>
      <c r="J132" s="397"/>
    </row>
    <row r="133" spans="1:10" ht="16.5">
      <c r="A133" s="382"/>
      <c r="B133" s="395"/>
      <c r="C133" s="395"/>
      <c r="D133" s="382"/>
      <c r="E133" s="397"/>
      <c r="F133" s="397"/>
      <c r="G133" s="397"/>
      <c r="H133" s="382"/>
      <c r="I133" s="397"/>
      <c r="J133" s="397"/>
    </row>
    <row r="134" spans="1:10" ht="16.5">
      <c r="A134" s="382"/>
      <c r="B134" s="395"/>
      <c r="C134" s="395"/>
      <c r="D134" s="382"/>
      <c r="E134" s="397"/>
      <c r="F134" s="397"/>
      <c r="G134" s="397"/>
      <c r="H134" s="382"/>
      <c r="I134" s="397"/>
      <c r="J134" s="397"/>
    </row>
    <row r="135" spans="1:10" ht="16.5">
      <c r="A135" s="382"/>
      <c r="B135" s="395"/>
      <c r="C135" s="395"/>
      <c r="D135" s="382"/>
      <c r="E135" s="397"/>
      <c r="F135" s="397"/>
      <c r="G135" s="397"/>
      <c r="H135" s="382"/>
      <c r="I135" s="397"/>
      <c r="J135" s="397"/>
    </row>
    <row r="136" spans="1:10" ht="16.5">
      <c r="A136" s="382"/>
      <c r="B136" s="395"/>
      <c r="C136" s="395"/>
      <c r="D136" s="382"/>
      <c r="E136" s="397"/>
      <c r="F136" s="397"/>
      <c r="G136" s="397"/>
      <c r="H136" s="382"/>
      <c r="I136" s="397"/>
      <c r="J136" s="397"/>
    </row>
    <row r="137" spans="1:10" ht="16.5">
      <c r="A137" s="382"/>
      <c r="B137" s="395"/>
      <c r="C137" s="395"/>
      <c r="D137" s="382"/>
      <c r="E137" s="397"/>
      <c r="F137" s="397"/>
      <c r="G137" s="397"/>
      <c r="H137" s="382"/>
      <c r="I137" s="397"/>
      <c r="J137" s="397"/>
    </row>
    <row r="138" spans="1:10" ht="16.5">
      <c r="A138" s="382"/>
      <c r="B138" s="395"/>
      <c r="C138" s="395"/>
      <c r="D138" s="382"/>
      <c r="E138" s="397"/>
      <c r="F138" s="397"/>
      <c r="G138" s="397"/>
      <c r="H138" s="382"/>
      <c r="I138" s="397"/>
      <c r="J138" s="397"/>
    </row>
    <row r="139" spans="1:10" ht="16.5">
      <c r="A139" s="382"/>
      <c r="B139" s="395"/>
      <c r="C139" s="395"/>
      <c r="D139" s="382"/>
      <c r="E139" s="397"/>
      <c r="F139" s="397"/>
      <c r="G139" s="397"/>
      <c r="H139" s="382"/>
      <c r="I139" s="397"/>
      <c r="J139" s="397"/>
    </row>
    <row r="140" spans="1:10" ht="16.5">
      <c r="A140" s="382"/>
      <c r="B140" s="395"/>
      <c r="C140" s="395"/>
      <c r="D140" s="382"/>
      <c r="E140" s="397"/>
      <c r="F140" s="397"/>
      <c r="G140" s="397"/>
      <c r="H140" s="382"/>
      <c r="I140" s="397"/>
      <c r="J140" s="397"/>
    </row>
    <row r="141" spans="1:10" ht="16.5">
      <c r="A141" s="382"/>
      <c r="B141" s="395"/>
      <c r="C141" s="395"/>
      <c r="D141" s="382"/>
      <c r="E141" s="397"/>
      <c r="F141" s="397"/>
      <c r="G141" s="397"/>
      <c r="H141" s="382"/>
      <c r="I141" s="397"/>
      <c r="J141" s="397"/>
    </row>
    <row r="142" spans="1:10" ht="16.5">
      <c r="A142" s="382"/>
      <c r="B142" s="395"/>
      <c r="C142" s="395"/>
      <c r="D142" s="382"/>
      <c r="E142" s="397"/>
      <c r="F142" s="397"/>
      <c r="G142" s="397"/>
      <c r="H142" s="382"/>
      <c r="I142" s="397"/>
      <c r="J142" s="397"/>
    </row>
    <row r="143" spans="1:10" ht="16.5">
      <c r="A143" s="382"/>
      <c r="B143" s="395"/>
      <c r="C143" s="395"/>
      <c r="D143" s="382"/>
      <c r="E143" s="397"/>
      <c r="F143" s="397"/>
      <c r="G143" s="397"/>
      <c r="H143" s="382"/>
      <c r="I143" s="397"/>
      <c r="J143" s="397"/>
    </row>
    <row r="144" spans="1:10" ht="16.5">
      <c r="A144" s="382"/>
      <c r="B144" s="395"/>
      <c r="C144" s="395"/>
      <c r="D144" s="382"/>
      <c r="E144" s="397"/>
      <c r="F144" s="397"/>
      <c r="G144" s="397"/>
      <c r="H144" s="382"/>
      <c r="I144" s="397"/>
      <c r="J144" s="397"/>
    </row>
    <row r="145" spans="1:10" ht="16.5">
      <c r="A145" s="382"/>
      <c r="B145" s="395"/>
      <c r="C145" s="395"/>
      <c r="D145" s="382"/>
      <c r="E145" s="397"/>
      <c r="F145" s="397"/>
      <c r="G145" s="397"/>
      <c r="H145" s="382"/>
      <c r="I145" s="397"/>
      <c r="J145" s="397"/>
    </row>
    <row r="146" spans="1:10" ht="16.5">
      <c r="A146" s="382"/>
      <c r="B146" s="395"/>
      <c r="C146" s="395"/>
      <c r="D146" s="382"/>
      <c r="E146" s="397"/>
      <c r="F146" s="397"/>
      <c r="G146" s="397"/>
      <c r="H146" s="382"/>
      <c r="I146" s="397"/>
      <c r="J146" s="397"/>
    </row>
    <row r="147" spans="1:10" ht="16.5">
      <c r="A147" s="382"/>
      <c r="B147" s="395"/>
      <c r="C147" s="395"/>
      <c r="D147" s="382"/>
      <c r="E147" s="397"/>
      <c r="F147" s="397"/>
      <c r="G147" s="397"/>
      <c r="H147" s="382"/>
      <c r="I147" s="397"/>
      <c r="J147" s="397"/>
    </row>
    <row r="148" spans="1:10" ht="16.5">
      <c r="A148" s="382"/>
      <c r="B148" s="395"/>
      <c r="C148" s="395"/>
      <c r="D148" s="382"/>
      <c r="E148" s="397"/>
      <c r="F148" s="397"/>
      <c r="G148" s="397"/>
      <c r="H148" s="382"/>
      <c r="I148" s="397"/>
      <c r="J148" s="397"/>
    </row>
    <row r="149" spans="1:10" ht="16.5">
      <c r="A149" s="382"/>
      <c r="B149" s="395"/>
      <c r="C149" s="395"/>
      <c r="D149" s="382"/>
      <c r="E149" s="397"/>
      <c r="F149" s="397"/>
      <c r="G149" s="397"/>
      <c r="H149" s="382"/>
      <c r="I149" s="397"/>
      <c r="J149" s="397"/>
    </row>
    <row r="150" spans="1:10" ht="16.5">
      <c r="A150" s="382"/>
      <c r="B150" s="395"/>
      <c r="C150" s="395"/>
      <c r="D150" s="382"/>
      <c r="E150" s="397"/>
      <c r="F150" s="397"/>
      <c r="G150" s="397"/>
      <c r="H150" s="382"/>
      <c r="I150" s="397"/>
      <c r="J150" s="397"/>
    </row>
    <row r="151" spans="1:10" ht="16.5">
      <c r="A151" s="382"/>
      <c r="B151" s="395"/>
      <c r="C151" s="395"/>
      <c r="D151" s="382"/>
      <c r="E151" s="397"/>
      <c r="F151" s="397"/>
      <c r="G151" s="397"/>
      <c r="H151" s="382"/>
      <c r="I151" s="397"/>
      <c r="J151" s="397"/>
    </row>
    <row r="152" spans="1:10" ht="16.5">
      <c r="A152" s="382"/>
      <c r="B152" s="395"/>
      <c r="C152" s="395"/>
      <c r="D152" s="382"/>
      <c r="E152" s="397"/>
      <c r="F152" s="397"/>
      <c r="G152" s="397"/>
      <c r="H152" s="382"/>
      <c r="I152" s="397"/>
      <c r="J152" s="397"/>
    </row>
    <row r="153" spans="1:10" ht="16.5">
      <c r="A153" s="382"/>
      <c r="B153" s="395"/>
      <c r="C153" s="395"/>
      <c r="D153" s="382"/>
      <c r="E153" s="397"/>
      <c r="F153" s="397"/>
      <c r="G153" s="397"/>
      <c r="H153" s="382"/>
      <c r="I153" s="397"/>
      <c r="J153" s="397"/>
    </row>
    <row r="154" spans="1:10" ht="16.5">
      <c r="A154" s="382"/>
      <c r="B154" s="395"/>
      <c r="C154" s="395"/>
      <c r="D154" s="382"/>
      <c r="E154" s="397"/>
      <c r="F154" s="397"/>
      <c r="G154" s="397"/>
      <c r="H154" s="382"/>
      <c r="I154" s="397"/>
      <c r="J154" s="397"/>
    </row>
    <row r="155" spans="1:10" ht="16.5">
      <c r="A155" s="382"/>
      <c r="B155" s="395"/>
      <c r="C155" s="395"/>
      <c r="D155" s="382"/>
      <c r="E155" s="397"/>
      <c r="F155" s="397"/>
      <c r="G155" s="397"/>
      <c r="H155" s="382"/>
      <c r="I155" s="397"/>
      <c r="J155" s="397"/>
    </row>
    <row r="156" spans="1:10" ht="16.5">
      <c r="A156" s="382"/>
      <c r="B156" s="395"/>
      <c r="C156" s="395"/>
      <c r="D156" s="382"/>
      <c r="E156" s="397"/>
      <c r="F156" s="397"/>
      <c r="G156" s="397"/>
      <c r="H156" s="382"/>
      <c r="I156" s="397"/>
      <c r="J156" s="397"/>
    </row>
    <row r="157" spans="1:10" ht="16.5">
      <c r="A157" s="382"/>
      <c r="B157" s="395"/>
      <c r="C157" s="395"/>
      <c r="D157" s="382"/>
      <c r="E157" s="397"/>
      <c r="F157" s="397"/>
      <c r="G157" s="397"/>
      <c r="H157" s="382"/>
      <c r="I157" s="397"/>
      <c r="J157" s="397"/>
    </row>
    <row r="158" spans="1:10" ht="16.5">
      <c r="A158" s="382"/>
      <c r="B158" s="395"/>
      <c r="C158" s="395"/>
      <c r="D158" s="382"/>
      <c r="E158" s="397"/>
      <c r="F158" s="397"/>
      <c r="G158" s="397"/>
      <c r="H158" s="382"/>
      <c r="I158" s="397"/>
      <c r="J158" s="397"/>
    </row>
    <row r="159" spans="1:10" ht="16.5">
      <c r="A159" s="382"/>
      <c r="B159" s="395"/>
      <c r="C159" s="395"/>
      <c r="D159" s="382"/>
      <c r="E159" s="397"/>
      <c r="F159" s="397"/>
      <c r="G159" s="397"/>
      <c r="H159" s="382"/>
      <c r="I159" s="397"/>
      <c r="J159" s="397"/>
    </row>
    <row r="160" spans="1:10" ht="16.5">
      <c r="A160" s="382"/>
      <c r="B160" s="395"/>
      <c r="C160" s="395"/>
      <c r="D160" s="382"/>
      <c r="E160" s="397"/>
      <c r="F160" s="397"/>
      <c r="G160" s="397"/>
      <c r="H160" s="382"/>
      <c r="I160" s="397"/>
      <c r="J160" s="397"/>
    </row>
    <row r="161" spans="1:10" ht="16.5">
      <c r="A161" s="382"/>
      <c r="B161" s="395"/>
      <c r="C161" s="395"/>
      <c r="D161" s="382"/>
      <c r="E161" s="397"/>
      <c r="F161" s="397"/>
      <c r="G161" s="397"/>
      <c r="H161" s="382"/>
      <c r="I161" s="397"/>
      <c r="J161" s="397"/>
    </row>
    <row r="162" spans="1:10" ht="16.5">
      <c r="A162" s="382"/>
      <c r="B162" s="395"/>
      <c r="C162" s="395"/>
      <c r="D162" s="382"/>
      <c r="E162" s="397"/>
      <c r="F162" s="397"/>
      <c r="G162" s="397"/>
      <c r="H162" s="382"/>
      <c r="I162" s="397"/>
      <c r="J162" s="397"/>
    </row>
    <row r="163" spans="1:10" ht="16.5">
      <c r="A163" s="382"/>
      <c r="B163" s="395"/>
      <c r="C163" s="395"/>
      <c r="D163" s="382"/>
      <c r="E163" s="397"/>
      <c r="F163" s="397"/>
      <c r="G163" s="397"/>
      <c r="H163" s="382"/>
      <c r="I163" s="397"/>
      <c r="J163" s="397"/>
    </row>
    <row r="164" spans="1:10" ht="16.5">
      <c r="A164" s="382"/>
      <c r="B164" s="395"/>
      <c r="C164" s="395"/>
      <c r="D164" s="382"/>
      <c r="E164" s="397"/>
      <c r="F164" s="397"/>
      <c r="G164" s="397"/>
      <c r="H164" s="382"/>
      <c r="I164" s="397"/>
      <c r="J164" s="397"/>
    </row>
    <row r="165" spans="1:10" ht="16.5">
      <c r="A165" s="382"/>
      <c r="B165" s="395"/>
      <c r="C165" s="395"/>
      <c r="D165" s="382"/>
      <c r="E165" s="397"/>
      <c r="F165" s="397"/>
      <c r="G165" s="397"/>
      <c r="H165" s="382"/>
      <c r="I165" s="397"/>
      <c r="J165" s="397"/>
    </row>
    <row r="166" spans="1:10" ht="16.5">
      <c r="A166" s="382"/>
      <c r="B166" s="395"/>
      <c r="C166" s="395"/>
      <c r="D166" s="382"/>
      <c r="E166" s="397"/>
      <c r="F166" s="397"/>
      <c r="G166" s="397"/>
      <c r="H166" s="382"/>
      <c r="I166" s="397"/>
      <c r="J166" s="397"/>
    </row>
    <row r="167" spans="1:10" ht="16.5">
      <c r="A167" s="382"/>
      <c r="B167" s="395"/>
      <c r="C167" s="395"/>
      <c r="D167" s="382"/>
      <c r="E167" s="397"/>
      <c r="F167" s="397"/>
      <c r="G167" s="397"/>
      <c r="H167" s="382"/>
      <c r="I167" s="397"/>
      <c r="J167" s="397"/>
    </row>
    <row r="168" spans="1:10" ht="16.5">
      <c r="A168" s="382"/>
      <c r="B168" s="395"/>
      <c r="C168" s="395"/>
      <c r="D168" s="382"/>
      <c r="E168" s="397"/>
      <c r="F168" s="397"/>
      <c r="G168" s="397"/>
      <c r="H168" s="382"/>
      <c r="I168" s="397"/>
      <c r="J168" s="397"/>
    </row>
    <row r="169" spans="1:10" ht="16.5">
      <c r="A169" s="382"/>
      <c r="B169" s="395"/>
      <c r="C169" s="395"/>
      <c r="D169" s="382"/>
      <c r="E169" s="397"/>
      <c r="F169" s="397"/>
      <c r="G169" s="397"/>
      <c r="H169" s="382"/>
      <c r="I169" s="397"/>
      <c r="J169" s="397"/>
    </row>
    <row r="170" spans="1:10" ht="16.5">
      <c r="A170" s="382"/>
      <c r="B170" s="395"/>
      <c r="C170" s="395"/>
      <c r="D170" s="382"/>
      <c r="E170" s="397"/>
      <c r="F170" s="397"/>
      <c r="G170" s="397"/>
      <c r="H170" s="382"/>
      <c r="I170" s="397"/>
      <c r="J170" s="397"/>
    </row>
    <row r="171" spans="1:10" ht="16.5">
      <c r="A171" s="382"/>
      <c r="B171" s="395"/>
      <c r="C171" s="395"/>
      <c r="D171" s="382"/>
      <c r="E171" s="397"/>
      <c r="F171" s="397"/>
      <c r="G171" s="397"/>
      <c r="H171" s="382"/>
      <c r="I171" s="397"/>
      <c r="J171" s="397"/>
    </row>
    <row r="172" spans="1:10" ht="16.5">
      <c r="A172" s="382"/>
      <c r="B172" s="395"/>
      <c r="C172" s="395"/>
      <c r="D172" s="382"/>
      <c r="E172" s="397"/>
      <c r="F172" s="397"/>
      <c r="G172" s="397"/>
      <c r="H172" s="382"/>
      <c r="I172" s="397"/>
      <c r="J172" s="397"/>
    </row>
    <row r="173" spans="1:10" ht="16.5">
      <c r="A173" s="382"/>
      <c r="B173" s="395"/>
      <c r="C173" s="395"/>
      <c r="D173" s="382"/>
      <c r="E173" s="397"/>
      <c r="F173" s="397"/>
      <c r="G173" s="397"/>
      <c r="H173" s="382"/>
      <c r="I173" s="397"/>
      <c r="J173" s="397"/>
    </row>
    <row r="174" spans="1:10" ht="16.5">
      <c r="A174" s="382"/>
      <c r="B174" s="395"/>
      <c r="C174" s="395"/>
      <c r="D174" s="382"/>
      <c r="E174" s="397"/>
      <c r="F174" s="397"/>
      <c r="G174" s="397"/>
      <c r="H174" s="382"/>
      <c r="I174" s="397"/>
      <c r="J174" s="397"/>
    </row>
    <row r="175" spans="1:10" ht="16.5">
      <c r="A175" s="382"/>
      <c r="B175" s="395"/>
      <c r="C175" s="395"/>
      <c r="D175" s="382"/>
      <c r="E175" s="397"/>
      <c r="F175" s="397"/>
      <c r="G175" s="397"/>
      <c r="H175" s="382"/>
      <c r="I175" s="397"/>
      <c r="J175" s="397"/>
    </row>
    <row r="176" spans="1:10" ht="16.5">
      <c r="A176" s="382"/>
      <c r="B176" s="395"/>
      <c r="C176" s="395"/>
      <c r="D176" s="382"/>
      <c r="E176" s="397"/>
      <c r="F176" s="397"/>
      <c r="G176" s="397"/>
      <c r="H176" s="382"/>
      <c r="I176" s="397"/>
      <c r="J176" s="397"/>
    </row>
    <row r="177" spans="1:10" ht="16.5">
      <c r="A177" s="382"/>
      <c r="B177" s="395"/>
      <c r="C177" s="395"/>
      <c r="D177" s="382"/>
      <c r="E177" s="397"/>
      <c r="F177" s="397"/>
      <c r="G177" s="397"/>
      <c r="H177" s="382"/>
      <c r="I177" s="397"/>
      <c r="J177" s="397"/>
    </row>
    <row r="178" spans="1:10" ht="16.5">
      <c r="A178" s="382"/>
      <c r="B178" s="395"/>
      <c r="C178" s="395"/>
      <c r="D178" s="382"/>
      <c r="E178" s="397"/>
      <c r="F178" s="397"/>
      <c r="G178" s="397"/>
      <c r="H178" s="382"/>
      <c r="I178" s="397"/>
      <c r="J178" s="397"/>
    </row>
    <row r="179" spans="1:10" ht="16.5">
      <c r="A179" s="382"/>
      <c r="B179" s="395"/>
      <c r="C179" s="395"/>
      <c r="D179" s="382"/>
      <c r="E179" s="397"/>
      <c r="F179" s="397"/>
      <c r="G179" s="397"/>
      <c r="H179" s="382"/>
      <c r="I179" s="397"/>
      <c r="J179" s="397"/>
    </row>
    <row r="180" spans="1:10" ht="16.5">
      <c r="A180" s="382"/>
      <c r="B180" s="395"/>
      <c r="C180" s="395"/>
      <c r="D180" s="382"/>
      <c r="E180" s="397"/>
      <c r="F180" s="397"/>
      <c r="G180" s="397"/>
      <c r="H180" s="382"/>
      <c r="I180" s="397"/>
      <c r="J180" s="397"/>
    </row>
    <row r="181" spans="1:10" ht="16.5">
      <c r="A181" s="382"/>
      <c r="B181" s="395"/>
      <c r="C181" s="395"/>
      <c r="D181" s="382"/>
      <c r="E181" s="397"/>
      <c r="F181" s="397"/>
      <c r="G181" s="397"/>
      <c r="H181" s="382"/>
      <c r="I181" s="397"/>
      <c r="J181" s="397"/>
    </row>
    <row r="182" spans="1:10" ht="16.5">
      <c r="A182" s="382"/>
      <c r="B182" s="395"/>
      <c r="C182" s="395"/>
      <c r="D182" s="382"/>
      <c r="E182" s="397"/>
      <c r="F182" s="397"/>
      <c r="G182" s="397"/>
      <c r="H182" s="382"/>
      <c r="I182" s="397"/>
      <c r="J182" s="397"/>
    </row>
    <row r="183" spans="1:10" ht="16.5">
      <c r="A183" s="382"/>
      <c r="B183" s="395"/>
      <c r="C183" s="395"/>
      <c r="D183" s="382"/>
      <c r="E183" s="397"/>
      <c r="F183" s="397"/>
      <c r="G183" s="397"/>
      <c r="H183" s="382"/>
      <c r="I183" s="397"/>
      <c r="J183" s="397"/>
    </row>
    <row r="184" spans="1:10" ht="16.5">
      <c r="A184" s="382"/>
      <c r="B184" s="395"/>
      <c r="C184" s="395"/>
      <c r="D184" s="382"/>
      <c r="E184" s="397"/>
      <c r="F184" s="397"/>
      <c r="G184" s="397"/>
      <c r="H184" s="382"/>
      <c r="I184" s="397"/>
      <c r="J184" s="397"/>
    </row>
    <row r="185" spans="1:10" ht="16.5">
      <c r="A185" s="382"/>
      <c r="B185" s="395"/>
      <c r="C185" s="395"/>
      <c r="D185" s="382"/>
      <c r="E185" s="397"/>
      <c r="F185" s="397"/>
      <c r="G185" s="397"/>
      <c r="H185" s="382"/>
      <c r="I185" s="397"/>
      <c r="J185" s="397"/>
    </row>
    <row r="186" spans="1:10" ht="16.5">
      <c r="A186" s="382"/>
      <c r="B186" s="395"/>
      <c r="C186" s="395"/>
      <c r="D186" s="382"/>
      <c r="E186" s="397"/>
      <c r="F186" s="397"/>
      <c r="G186" s="397"/>
      <c r="H186" s="382"/>
      <c r="I186" s="397"/>
      <c r="J186" s="397"/>
    </row>
    <row r="187" spans="1:10" ht="16.5">
      <c r="A187" s="382"/>
      <c r="B187" s="395"/>
      <c r="C187" s="395"/>
      <c r="D187" s="382"/>
      <c r="E187" s="397"/>
      <c r="F187" s="397"/>
      <c r="G187" s="397"/>
      <c r="H187" s="382"/>
      <c r="I187" s="397"/>
      <c r="J187" s="397"/>
    </row>
    <row r="188" spans="1:10" ht="16.5">
      <c r="A188" s="382"/>
      <c r="B188" s="395"/>
      <c r="C188" s="395"/>
      <c r="D188" s="382"/>
      <c r="E188" s="397"/>
      <c r="F188" s="397"/>
      <c r="G188" s="397"/>
      <c r="H188" s="382"/>
      <c r="I188" s="397"/>
      <c r="J188" s="397"/>
    </row>
    <row r="189" spans="1:10" ht="16.5">
      <c r="A189" s="382"/>
      <c r="B189" s="395"/>
      <c r="C189" s="395"/>
      <c r="D189" s="382"/>
      <c r="E189" s="397"/>
      <c r="F189" s="397"/>
      <c r="G189" s="397"/>
      <c r="H189" s="382"/>
      <c r="I189" s="397"/>
      <c r="J189" s="397"/>
    </row>
    <row r="190" spans="1:10" ht="16.5">
      <c r="A190" s="382"/>
      <c r="B190" s="395"/>
      <c r="C190" s="395"/>
      <c r="D190" s="382"/>
      <c r="E190" s="397"/>
      <c r="F190" s="397"/>
      <c r="G190" s="397"/>
      <c r="H190" s="382"/>
      <c r="I190" s="397"/>
      <c r="J190" s="397"/>
    </row>
    <row r="191" spans="1:10" ht="16.5">
      <c r="A191" s="382"/>
      <c r="B191" s="395"/>
      <c r="C191" s="395"/>
      <c r="D191" s="382"/>
      <c r="E191" s="397"/>
      <c r="F191" s="397"/>
      <c r="G191" s="397"/>
      <c r="H191" s="382"/>
      <c r="I191" s="397"/>
      <c r="J191" s="397"/>
    </row>
    <row r="192" spans="1:10" ht="16.5">
      <c r="A192" s="382"/>
      <c r="B192" s="395"/>
      <c r="C192" s="395"/>
      <c r="D192" s="382"/>
      <c r="E192" s="397"/>
      <c r="F192" s="397"/>
      <c r="G192" s="397"/>
      <c r="H192" s="382"/>
      <c r="I192" s="397"/>
      <c r="J192" s="397"/>
    </row>
    <row r="193" spans="1:10" ht="16.5">
      <c r="A193" s="382"/>
      <c r="B193" s="395"/>
      <c r="C193" s="395"/>
      <c r="D193" s="382"/>
      <c r="E193" s="397"/>
      <c r="F193" s="397"/>
      <c r="G193" s="397"/>
      <c r="H193" s="382"/>
      <c r="I193" s="397"/>
      <c r="J193" s="397"/>
    </row>
    <row r="194" spans="1:10" ht="16.5">
      <c r="A194" s="382"/>
      <c r="B194" s="395"/>
      <c r="C194" s="395"/>
      <c r="D194" s="382"/>
      <c r="E194" s="397"/>
      <c r="F194" s="397"/>
      <c r="G194" s="397"/>
      <c r="H194" s="382"/>
      <c r="I194" s="397"/>
      <c r="J194" s="397"/>
    </row>
    <row r="195" spans="1:10" ht="16.5">
      <c r="A195" s="382"/>
      <c r="B195" s="395"/>
      <c r="C195" s="395"/>
      <c r="D195" s="382"/>
      <c r="E195" s="397"/>
      <c r="F195" s="397"/>
      <c r="G195" s="397"/>
      <c r="H195" s="382"/>
      <c r="I195" s="397"/>
      <c r="J195" s="397"/>
    </row>
    <row r="196" spans="1:10" ht="16.5">
      <c r="A196" s="382"/>
      <c r="B196" s="395"/>
      <c r="C196" s="395"/>
      <c r="D196" s="382"/>
      <c r="E196" s="397"/>
      <c r="F196" s="397"/>
      <c r="G196" s="397"/>
      <c r="H196" s="382"/>
      <c r="I196" s="397"/>
      <c r="J196" s="397"/>
    </row>
    <row r="197" spans="1:10" ht="16.5">
      <c r="A197" s="382"/>
      <c r="B197" s="395"/>
      <c r="C197" s="395"/>
      <c r="D197" s="382"/>
      <c r="E197" s="397"/>
      <c r="F197" s="397"/>
      <c r="G197" s="397"/>
      <c r="H197" s="382"/>
      <c r="I197" s="397"/>
      <c r="J197" s="397"/>
    </row>
    <row r="198" spans="1:10" ht="16.5">
      <c r="A198" s="382"/>
      <c r="B198" s="395"/>
      <c r="C198" s="395"/>
      <c r="D198" s="382"/>
      <c r="E198" s="397"/>
      <c r="F198" s="397"/>
      <c r="G198" s="397"/>
      <c r="H198" s="382"/>
      <c r="I198" s="397"/>
      <c r="J198" s="397"/>
    </row>
    <row r="199" spans="1:10" ht="16.5">
      <c r="A199" s="382"/>
      <c r="B199" s="395"/>
      <c r="C199" s="395"/>
      <c r="D199" s="382"/>
      <c r="E199" s="397"/>
      <c r="F199" s="397"/>
      <c r="G199" s="397"/>
      <c r="H199" s="382"/>
      <c r="I199" s="397"/>
      <c r="J199" s="397"/>
    </row>
    <row r="200" spans="1:10" ht="16.5">
      <c r="A200" s="382"/>
      <c r="B200" s="395"/>
      <c r="C200" s="395"/>
      <c r="D200" s="382"/>
      <c r="E200" s="397"/>
      <c r="F200" s="397"/>
      <c r="G200" s="397"/>
      <c r="H200" s="382"/>
      <c r="I200" s="397"/>
      <c r="J200" s="397"/>
    </row>
    <row r="201" spans="1:10" ht="16.5">
      <c r="A201" s="382"/>
      <c r="B201" s="395"/>
      <c r="C201" s="395"/>
      <c r="D201" s="382"/>
      <c r="E201" s="397"/>
      <c r="F201" s="397"/>
      <c r="G201" s="397"/>
      <c r="H201" s="382"/>
      <c r="I201" s="397"/>
      <c r="J201" s="397"/>
    </row>
    <row r="202" spans="1:10" ht="16.5">
      <c r="A202" s="382"/>
      <c r="B202" s="395"/>
      <c r="C202" s="395"/>
      <c r="D202" s="382"/>
      <c r="E202" s="397"/>
      <c r="F202" s="397"/>
      <c r="G202" s="397"/>
      <c r="H202" s="382"/>
      <c r="I202" s="397"/>
      <c r="J202" s="397"/>
    </row>
    <row r="203" spans="1:10" ht="16.5">
      <c r="A203" s="382"/>
      <c r="B203" s="395"/>
      <c r="C203" s="395"/>
      <c r="D203" s="382"/>
      <c r="E203" s="397"/>
      <c r="F203" s="397"/>
      <c r="G203" s="397"/>
      <c r="H203" s="382"/>
      <c r="I203" s="397"/>
      <c r="J203" s="397"/>
    </row>
    <row r="204" spans="1:10" ht="16.5">
      <c r="A204" s="382"/>
      <c r="B204" s="395"/>
      <c r="C204" s="395"/>
      <c r="D204" s="382"/>
      <c r="E204" s="397"/>
      <c r="F204" s="397"/>
      <c r="G204" s="397"/>
      <c r="H204" s="382"/>
      <c r="I204" s="397"/>
      <c r="J204" s="397"/>
    </row>
    <row r="205" spans="1:10" ht="16.5">
      <c r="A205" s="382"/>
      <c r="B205" s="395"/>
      <c r="C205" s="395"/>
      <c r="D205" s="382"/>
      <c r="E205" s="397"/>
      <c r="F205" s="397"/>
      <c r="G205" s="397"/>
      <c r="H205" s="382"/>
      <c r="I205" s="397"/>
      <c r="J205" s="397"/>
    </row>
    <row r="206" spans="1:10" ht="16.5">
      <c r="A206" s="382"/>
      <c r="B206" s="395"/>
      <c r="C206" s="395"/>
      <c r="D206" s="382"/>
      <c r="E206" s="397"/>
      <c r="F206" s="397"/>
      <c r="G206" s="397"/>
      <c r="H206" s="382"/>
      <c r="I206" s="397"/>
      <c r="J206" s="397"/>
    </row>
    <row r="207" spans="1:10" ht="16.5">
      <c r="A207" s="382"/>
      <c r="B207" s="395"/>
      <c r="C207" s="395"/>
      <c r="D207" s="382"/>
      <c r="E207" s="397"/>
      <c r="F207" s="397"/>
      <c r="G207" s="397"/>
      <c r="H207" s="382"/>
      <c r="I207" s="397"/>
      <c r="J207" s="397"/>
    </row>
    <row r="208" spans="1:10" ht="16.5">
      <c r="A208" s="382"/>
      <c r="B208" s="395"/>
      <c r="C208" s="395"/>
      <c r="D208" s="382"/>
      <c r="E208" s="397"/>
      <c r="F208" s="397"/>
      <c r="G208" s="397"/>
      <c r="H208" s="382"/>
      <c r="I208" s="397"/>
      <c r="J208" s="397"/>
    </row>
    <row r="209" spans="1:10" ht="16.5">
      <c r="A209" s="382"/>
      <c r="B209" s="395"/>
      <c r="C209" s="395"/>
      <c r="D209" s="382"/>
      <c r="E209" s="397"/>
      <c r="F209" s="397"/>
      <c r="G209" s="397"/>
      <c r="H209" s="382"/>
      <c r="I209" s="397"/>
      <c r="J209" s="397"/>
    </row>
    <row r="210" spans="1:10" ht="16.5">
      <c r="A210" s="382"/>
      <c r="B210" s="395"/>
      <c r="C210" s="395"/>
      <c r="D210" s="382"/>
      <c r="E210" s="397"/>
      <c r="F210" s="397"/>
      <c r="G210" s="397"/>
      <c r="H210" s="382"/>
      <c r="I210" s="397"/>
      <c r="J210" s="397"/>
    </row>
    <row r="211" spans="1:10" ht="16.5">
      <c r="A211" s="382"/>
      <c r="B211" s="395"/>
      <c r="C211" s="395"/>
      <c r="D211" s="382"/>
      <c r="E211" s="397"/>
      <c r="F211" s="397"/>
      <c r="G211" s="397"/>
      <c r="H211" s="382"/>
      <c r="I211" s="397"/>
      <c r="J211" s="397"/>
    </row>
    <row r="212" spans="1:10" ht="16.5">
      <c r="A212" s="382"/>
      <c r="B212" s="395"/>
      <c r="C212" s="395"/>
      <c r="D212" s="382"/>
      <c r="E212" s="397"/>
      <c r="F212" s="397"/>
      <c r="G212" s="397"/>
      <c r="H212" s="382"/>
      <c r="I212" s="397"/>
      <c r="J212" s="397"/>
    </row>
    <row r="213" spans="1:10" ht="16.5">
      <c r="A213" s="382"/>
      <c r="B213" s="395"/>
      <c r="C213" s="395"/>
      <c r="D213" s="382"/>
      <c r="E213" s="397"/>
      <c r="F213" s="397"/>
      <c r="G213" s="397"/>
      <c r="H213" s="382"/>
      <c r="I213" s="397"/>
      <c r="J213" s="397"/>
    </row>
    <row r="214" spans="1:10" ht="16.5">
      <c r="A214" s="382"/>
      <c r="B214" s="395"/>
      <c r="C214" s="395"/>
      <c r="D214" s="382"/>
      <c r="E214" s="397"/>
      <c r="F214" s="397"/>
      <c r="G214" s="397"/>
      <c r="H214" s="382"/>
      <c r="I214" s="397"/>
      <c r="J214" s="397"/>
    </row>
    <row r="215" spans="1:10" ht="16.5">
      <c r="A215" s="382"/>
      <c r="B215" s="395"/>
      <c r="C215" s="395"/>
      <c r="D215" s="382"/>
      <c r="E215" s="397"/>
      <c r="F215" s="397"/>
      <c r="G215" s="397"/>
      <c r="H215" s="382"/>
      <c r="I215" s="397"/>
      <c r="J215" s="397"/>
    </row>
    <row r="216" spans="1:10" ht="16.5">
      <c r="A216" s="382"/>
      <c r="B216" s="395"/>
      <c r="C216" s="395"/>
      <c r="D216" s="382"/>
      <c r="E216" s="397"/>
      <c r="F216" s="397"/>
      <c r="G216" s="397"/>
      <c r="H216" s="382"/>
      <c r="I216" s="397"/>
      <c r="J216" s="397"/>
    </row>
    <row r="217" spans="1:10" ht="16.5">
      <c r="A217" s="382"/>
      <c r="B217" s="395"/>
      <c r="C217" s="395"/>
      <c r="D217" s="382"/>
      <c r="E217" s="397"/>
      <c r="F217" s="397"/>
      <c r="G217" s="397"/>
      <c r="H217" s="382"/>
      <c r="I217" s="397"/>
      <c r="J217" s="397"/>
    </row>
    <row r="218" spans="1:10" ht="16.5">
      <c r="A218" s="382"/>
      <c r="B218" s="395"/>
      <c r="C218" s="395"/>
      <c r="D218" s="382"/>
      <c r="E218" s="397"/>
      <c r="F218" s="397"/>
      <c r="G218" s="397"/>
      <c r="H218" s="382"/>
      <c r="I218" s="397"/>
      <c r="J218" s="397"/>
    </row>
    <row r="219" spans="1:10" ht="16.5">
      <c r="A219" s="382"/>
      <c r="B219" s="395"/>
      <c r="C219" s="395"/>
      <c r="D219" s="382"/>
      <c r="E219" s="397"/>
      <c r="F219" s="397"/>
      <c r="G219" s="397"/>
      <c r="H219" s="382"/>
      <c r="I219" s="397"/>
      <c r="J219" s="397"/>
    </row>
    <row r="220" spans="1:10" ht="16.5">
      <c r="A220" s="382"/>
      <c r="B220" s="395"/>
      <c r="C220" s="395"/>
      <c r="D220" s="382"/>
      <c r="E220" s="397"/>
      <c r="F220" s="397"/>
      <c r="G220" s="397"/>
      <c r="H220" s="382"/>
      <c r="I220" s="397"/>
      <c r="J220" s="397"/>
    </row>
    <row r="221" spans="1:10" ht="16.5">
      <c r="A221" s="382"/>
      <c r="B221" s="395"/>
      <c r="C221" s="395"/>
      <c r="D221" s="382"/>
      <c r="E221" s="397"/>
      <c r="F221" s="397"/>
      <c r="G221" s="397"/>
      <c r="H221" s="382"/>
      <c r="I221" s="397"/>
      <c r="J221" s="397"/>
    </row>
    <row r="222" spans="1:10" ht="16.5">
      <c r="A222" s="382"/>
      <c r="B222" s="395"/>
      <c r="C222" s="395"/>
      <c r="D222" s="382"/>
      <c r="E222" s="397"/>
      <c r="F222" s="397"/>
      <c r="G222" s="397"/>
      <c r="H222" s="382"/>
      <c r="I222" s="397"/>
      <c r="J222" s="397"/>
    </row>
    <row r="223" spans="1:10" ht="16.5">
      <c r="A223" s="382"/>
      <c r="B223" s="395"/>
      <c r="C223" s="395"/>
      <c r="D223" s="382"/>
      <c r="E223" s="397"/>
      <c r="F223" s="397"/>
      <c r="G223" s="397"/>
      <c r="H223" s="382"/>
      <c r="I223" s="397"/>
      <c r="J223" s="397"/>
    </row>
    <row r="224" spans="1:10" ht="16.5">
      <c r="A224" s="382"/>
      <c r="B224" s="395"/>
      <c r="C224" s="395"/>
      <c r="D224" s="382"/>
      <c r="E224" s="397"/>
      <c r="F224" s="397"/>
      <c r="G224" s="397"/>
      <c r="H224" s="382"/>
      <c r="I224" s="397"/>
      <c r="J224" s="397"/>
    </row>
    <row r="225" spans="1:10" ht="16.5">
      <c r="A225" s="382"/>
      <c r="B225" s="395"/>
      <c r="C225" s="395"/>
      <c r="D225" s="382"/>
      <c r="E225" s="397"/>
      <c r="F225" s="397"/>
      <c r="G225" s="397"/>
      <c r="H225" s="382"/>
      <c r="I225" s="397"/>
      <c r="J225" s="397"/>
    </row>
    <row r="226" spans="1:10" ht="16.5">
      <c r="A226" s="382"/>
      <c r="B226" s="395"/>
      <c r="C226" s="395"/>
      <c r="D226" s="382"/>
      <c r="E226" s="397"/>
      <c r="F226" s="397"/>
      <c r="G226" s="397"/>
      <c r="H226" s="382"/>
      <c r="I226" s="397"/>
      <c r="J226" s="397"/>
    </row>
    <row r="227" spans="1:10" ht="16.5">
      <c r="A227" s="382"/>
      <c r="B227" s="395"/>
      <c r="C227" s="395"/>
      <c r="D227" s="382"/>
      <c r="E227" s="397"/>
      <c r="F227" s="397"/>
      <c r="G227" s="397"/>
      <c r="H227" s="382"/>
      <c r="I227" s="397"/>
      <c r="J227" s="397"/>
    </row>
    <row r="228" spans="1:10" ht="16.5">
      <c r="A228" s="382"/>
      <c r="B228" s="395"/>
      <c r="C228" s="395"/>
      <c r="D228" s="382"/>
      <c r="E228" s="397"/>
      <c r="F228" s="397"/>
      <c r="G228" s="397"/>
      <c r="H228" s="382"/>
      <c r="I228" s="397"/>
      <c r="J228" s="397"/>
    </row>
    <row r="229" spans="1:10" ht="16.5">
      <c r="A229" s="382"/>
      <c r="B229" s="395"/>
      <c r="C229" s="395"/>
      <c r="D229" s="382"/>
      <c r="E229" s="397"/>
      <c r="F229" s="397"/>
      <c r="G229" s="397"/>
      <c r="H229" s="382"/>
      <c r="I229" s="397"/>
      <c r="J229" s="397"/>
    </row>
    <row r="230" spans="1:10" ht="16.5">
      <c r="A230" s="382"/>
      <c r="B230" s="395"/>
      <c r="C230" s="395"/>
      <c r="D230" s="382"/>
      <c r="E230" s="397"/>
      <c r="F230" s="397"/>
      <c r="G230" s="397"/>
      <c r="H230" s="382"/>
      <c r="I230" s="397"/>
      <c r="J230" s="397"/>
    </row>
    <row r="231" spans="1:10" ht="16.5">
      <c r="A231" s="382"/>
      <c r="B231" s="395"/>
      <c r="C231" s="395"/>
      <c r="D231" s="382"/>
      <c r="E231" s="397"/>
      <c r="F231" s="397"/>
      <c r="G231" s="397"/>
      <c r="H231" s="382"/>
      <c r="I231" s="397"/>
      <c r="J231" s="397"/>
    </row>
    <row r="232" spans="1:10" ht="16.5">
      <c r="A232" s="382"/>
      <c r="B232" s="395"/>
      <c r="C232" s="395"/>
      <c r="D232" s="382"/>
      <c r="E232" s="397"/>
      <c r="F232" s="397"/>
      <c r="G232" s="397"/>
      <c r="H232" s="382"/>
      <c r="I232" s="397"/>
      <c r="J232" s="397"/>
    </row>
    <row r="233" spans="1:10" ht="16.5">
      <c r="A233" s="382"/>
      <c r="B233" s="395"/>
      <c r="C233" s="395"/>
      <c r="D233" s="382"/>
      <c r="E233" s="397"/>
      <c r="F233" s="397"/>
      <c r="G233" s="397"/>
      <c r="H233" s="382"/>
      <c r="I233" s="397"/>
      <c r="J233" s="397"/>
    </row>
    <row r="234" spans="1:10" ht="16.5">
      <c r="A234" s="382"/>
      <c r="B234" s="395"/>
      <c r="C234" s="395"/>
      <c r="D234" s="382"/>
      <c r="E234" s="397"/>
      <c r="F234" s="397"/>
      <c r="G234" s="397"/>
      <c r="H234" s="382"/>
      <c r="I234" s="397"/>
      <c r="J234" s="397"/>
    </row>
    <row r="235" spans="1:10" ht="16.5">
      <c r="A235" s="382"/>
      <c r="B235" s="395"/>
      <c r="C235" s="395"/>
      <c r="D235" s="382"/>
      <c r="E235" s="397"/>
      <c r="F235" s="397"/>
      <c r="G235" s="397"/>
      <c r="H235" s="382"/>
      <c r="I235" s="397"/>
      <c r="J235" s="397"/>
    </row>
    <row r="236" spans="1:10" ht="16.5">
      <c r="A236" s="382"/>
      <c r="B236" s="395"/>
      <c r="C236" s="395"/>
      <c r="D236" s="382"/>
      <c r="E236" s="397"/>
      <c r="F236" s="397"/>
      <c r="G236" s="397"/>
      <c r="H236" s="382"/>
      <c r="I236" s="397"/>
      <c r="J236" s="397"/>
    </row>
    <row r="237" spans="1:10" ht="16.5">
      <c r="A237" s="382"/>
      <c r="B237" s="395"/>
      <c r="C237" s="395"/>
      <c r="D237" s="382"/>
      <c r="E237" s="397"/>
      <c r="F237" s="397"/>
      <c r="G237" s="397"/>
      <c r="H237" s="382"/>
      <c r="I237" s="397"/>
      <c r="J237" s="397"/>
    </row>
    <row r="238" spans="1:10" ht="16.5">
      <c r="A238" s="382"/>
      <c r="B238" s="395"/>
      <c r="C238" s="395"/>
      <c r="D238" s="382"/>
      <c r="E238" s="397"/>
      <c r="F238" s="397"/>
      <c r="G238" s="397"/>
      <c r="H238" s="382"/>
      <c r="I238" s="397"/>
      <c r="J238" s="397"/>
    </row>
    <row r="239" spans="1:10" ht="16.5">
      <c r="A239" s="382"/>
      <c r="B239" s="395"/>
      <c r="C239" s="395"/>
      <c r="D239" s="382"/>
      <c r="E239" s="397"/>
      <c r="F239" s="397"/>
      <c r="G239" s="397"/>
      <c r="H239" s="382"/>
      <c r="I239" s="397"/>
      <c r="J239" s="397"/>
    </row>
    <row r="240" spans="1:10" ht="16.5">
      <c r="A240" s="382"/>
      <c r="B240" s="395"/>
      <c r="C240" s="395"/>
      <c r="D240" s="382"/>
      <c r="E240" s="397"/>
      <c r="F240" s="397"/>
      <c r="G240" s="397"/>
      <c r="H240" s="382"/>
      <c r="I240" s="397"/>
      <c r="J240" s="397"/>
    </row>
    <row r="241" spans="1:10" ht="16.5">
      <c r="A241" s="382"/>
      <c r="B241" s="395"/>
      <c r="C241" s="395"/>
      <c r="D241" s="382"/>
      <c r="E241" s="397"/>
      <c r="F241" s="397"/>
      <c r="G241" s="397"/>
      <c r="H241" s="382"/>
      <c r="I241" s="397"/>
      <c r="J241" s="397"/>
    </row>
    <row r="242" spans="1:10" ht="16.5">
      <c r="A242" s="382"/>
      <c r="B242" s="395"/>
      <c r="C242" s="395"/>
      <c r="D242" s="382"/>
      <c r="E242" s="397"/>
      <c r="F242" s="397"/>
      <c r="G242" s="397"/>
      <c r="H242" s="382"/>
      <c r="I242" s="397"/>
      <c r="J242" s="397"/>
    </row>
    <row r="243" spans="1:10" ht="16.5">
      <c r="A243" s="382"/>
      <c r="B243" s="395"/>
      <c r="C243" s="395"/>
      <c r="D243" s="382"/>
      <c r="E243" s="397"/>
      <c r="F243" s="397"/>
      <c r="G243" s="397"/>
      <c r="H243" s="382"/>
      <c r="I243" s="397"/>
      <c r="J243" s="397"/>
    </row>
    <row r="244" spans="1:10" ht="16.5">
      <c r="A244" s="382"/>
      <c r="B244" s="395"/>
      <c r="C244" s="395"/>
      <c r="D244" s="382"/>
      <c r="E244" s="397"/>
      <c r="F244" s="397"/>
      <c r="G244" s="397"/>
      <c r="H244" s="382"/>
      <c r="I244" s="397"/>
      <c r="J244" s="397"/>
    </row>
    <row r="245" spans="1:10" ht="16.5">
      <c r="A245" s="382"/>
      <c r="B245" s="395"/>
      <c r="C245" s="395"/>
      <c r="D245" s="382"/>
      <c r="E245" s="397"/>
      <c r="F245" s="397"/>
      <c r="G245" s="397"/>
      <c r="H245" s="382"/>
      <c r="I245" s="397"/>
      <c r="J245" s="397"/>
    </row>
    <row r="246" spans="1:10" ht="16.5">
      <c r="A246" s="382"/>
      <c r="B246" s="395"/>
      <c r="C246" s="395"/>
      <c r="D246" s="382"/>
      <c r="E246" s="397"/>
      <c r="F246" s="397"/>
      <c r="G246" s="397"/>
      <c r="H246" s="382"/>
      <c r="I246" s="397"/>
      <c r="J246" s="397"/>
    </row>
    <row r="247" spans="1:10" ht="16.5">
      <c r="A247" s="382"/>
      <c r="B247" s="395"/>
      <c r="C247" s="395"/>
      <c r="D247" s="382"/>
      <c r="E247" s="397"/>
      <c r="F247" s="397"/>
      <c r="G247" s="397"/>
      <c r="H247" s="382"/>
      <c r="I247" s="397"/>
      <c r="J247" s="397"/>
    </row>
    <row r="248" spans="1:10" ht="16.5">
      <c r="A248" s="382"/>
      <c r="B248" s="395"/>
      <c r="C248" s="395"/>
      <c r="D248" s="382"/>
      <c r="E248" s="397"/>
      <c r="F248" s="397"/>
      <c r="G248" s="397"/>
      <c r="H248" s="382"/>
      <c r="I248" s="397"/>
      <c r="J248" s="397"/>
    </row>
    <row r="249" spans="1:10" ht="16.5">
      <c r="A249" s="382"/>
      <c r="B249" s="395"/>
      <c r="C249" s="395"/>
      <c r="D249" s="382"/>
      <c r="E249" s="397"/>
      <c r="F249" s="397"/>
      <c r="G249" s="397"/>
      <c r="H249" s="382"/>
      <c r="I249" s="397"/>
      <c r="J249" s="397"/>
    </row>
    <row r="250" spans="1:10" ht="16.5">
      <c r="A250" s="382"/>
      <c r="B250" s="395"/>
      <c r="C250" s="395"/>
      <c r="D250" s="382"/>
      <c r="E250" s="397"/>
      <c r="F250" s="397"/>
      <c r="G250" s="397"/>
      <c r="H250" s="382"/>
      <c r="I250" s="397"/>
      <c r="J250" s="397"/>
    </row>
  </sheetData>
  <sheetProtection/>
  <mergeCells count="7">
    <mergeCell ref="A3:J3"/>
    <mergeCell ref="A4:J4"/>
    <mergeCell ref="G33:J33"/>
    <mergeCell ref="B34:F34"/>
    <mergeCell ref="B33:F33"/>
    <mergeCell ref="I1:J1"/>
    <mergeCell ref="B2:J2"/>
  </mergeCells>
  <printOptions horizontalCentered="1"/>
  <pageMargins left="0" right="0" top="0" bottom="0" header="0.5118110236220472" footer="0.7480314960629921"/>
  <pageSetup fitToHeight="0" fitToWidth="1" horizontalDpi="600" verticalDpi="600" orientation="landscape" paperSize="9" scale="86" r:id="rId1"/>
  <headerFooter alignWithMargins="0">
    <oddFooter>&amp;R&amp;"Times New Roman,Regular"&amp;12&amp;P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V54"/>
  <sheetViews>
    <sheetView zoomScalePageLayoutView="0" workbookViewId="0" topLeftCell="A1">
      <selection activeCell="C40" sqref="C40"/>
    </sheetView>
  </sheetViews>
  <sheetFormatPr defaultColWidth="9.140625" defaultRowHeight="15" customHeight="1"/>
  <cols>
    <col min="1" max="1" width="6.8515625" style="173" customWidth="1"/>
    <col min="2" max="2" width="5.421875" style="173" customWidth="1"/>
    <col min="3" max="3" width="41.421875" style="172" customWidth="1"/>
    <col min="4" max="9" width="8.8515625" style="172" hidden="1" customWidth="1"/>
    <col min="10" max="15" width="14.421875" style="172" customWidth="1"/>
    <col min="16" max="18" width="9.140625" style="172" customWidth="1"/>
    <col min="19" max="19" width="11.57421875" style="172" bestFit="1" customWidth="1"/>
    <col min="20" max="16384" width="9.140625" style="172" customWidth="1"/>
  </cols>
  <sheetData>
    <row r="1" spans="1:15" ht="23.25" customHeight="1">
      <c r="A1" s="1807" t="s">
        <v>202</v>
      </c>
      <c r="B1" s="1807"/>
      <c r="C1" s="1807"/>
      <c r="D1" s="1807"/>
      <c r="E1" s="1807"/>
      <c r="F1" s="1807"/>
      <c r="G1" s="1807"/>
      <c r="H1" s="1807"/>
      <c r="I1" s="1807"/>
      <c r="J1" s="1807"/>
      <c r="K1" s="1807"/>
      <c r="L1" s="1807"/>
      <c r="M1" s="1807"/>
      <c r="N1" s="1807"/>
      <c r="O1" s="1807"/>
    </row>
    <row r="2" spans="1:15" ht="49.5" customHeight="1">
      <c r="A2" s="1808" t="s">
        <v>206</v>
      </c>
      <c r="B2" s="1808"/>
      <c r="C2" s="1808"/>
      <c r="D2" s="1808"/>
      <c r="E2" s="1808"/>
      <c r="F2" s="1808"/>
      <c r="G2" s="1808"/>
      <c r="H2" s="1808"/>
      <c r="I2" s="1808"/>
      <c r="J2" s="1808"/>
      <c r="K2" s="1808"/>
      <c r="L2" s="1808"/>
      <c r="M2" s="1808"/>
      <c r="N2" s="1808"/>
      <c r="O2" s="1808"/>
    </row>
    <row r="3" spans="1:15" ht="15" customHeight="1">
      <c r="A3" s="1809"/>
      <c r="B3" s="1809"/>
      <c r="C3" s="1809"/>
      <c r="D3" s="1809"/>
      <c r="E3" s="1809"/>
      <c r="F3" s="1809"/>
      <c r="G3" s="1809"/>
      <c r="H3" s="1809"/>
      <c r="I3" s="1809"/>
      <c r="J3" s="1809"/>
      <c r="K3" s="1809"/>
      <c r="L3" s="1809"/>
      <c r="M3" s="1809"/>
      <c r="N3" s="1809"/>
      <c r="O3" s="1809"/>
    </row>
    <row r="4" spans="3:15" ht="21" customHeight="1">
      <c r="C4" s="174"/>
      <c r="D4" s="174"/>
      <c r="E4" s="174"/>
      <c r="F4" s="174"/>
      <c r="G4" s="174"/>
      <c r="H4" s="174"/>
      <c r="I4" s="174"/>
      <c r="J4" s="174"/>
      <c r="K4" s="174"/>
      <c r="L4" s="175"/>
      <c r="M4" s="1810" t="s">
        <v>209</v>
      </c>
      <c r="N4" s="1810"/>
      <c r="O4" s="1810"/>
    </row>
    <row r="5" spans="1:15" s="178" customFormat="1" ht="38.25" customHeight="1">
      <c r="A5" s="176" t="s">
        <v>0</v>
      </c>
      <c r="B5" s="1812" t="s">
        <v>200</v>
      </c>
      <c r="C5" s="1813"/>
      <c r="D5" s="176">
        <v>2000</v>
      </c>
      <c r="E5" s="176">
        <v>2001</v>
      </c>
      <c r="F5" s="176">
        <v>2002</v>
      </c>
      <c r="G5" s="176">
        <v>2003</v>
      </c>
      <c r="H5" s="176">
        <v>2004</v>
      </c>
      <c r="I5" s="176">
        <v>2005</v>
      </c>
      <c r="J5" s="176" t="s">
        <v>199</v>
      </c>
      <c r="K5" s="176">
        <v>2011</v>
      </c>
      <c r="L5" s="177">
        <v>2012</v>
      </c>
      <c r="M5" s="176">
        <v>2013</v>
      </c>
      <c r="N5" s="177">
        <v>2014</v>
      </c>
      <c r="O5" s="176">
        <v>2015</v>
      </c>
    </row>
    <row r="6" spans="1:15" s="178" customFormat="1" ht="27" customHeight="1">
      <c r="A6" s="179"/>
      <c r="B6" s="1814" t="s">
        <v>137</v>
      </c>
      <c r="C6" s="1815"/>
      <c r="D6" s="180"/>
      <c r="E6" s="180"/>
      <c r="F6" s="180"/>
      <c r="G6" s="180"/>
      <c r="H6" s="180"/>
      <c r="I6" s="180"/>
      <c r="J6" s="309" t="e">
        <f>+K6+L6+M6+N6+O6</f>
        <v>#REF!</v>
      </c>
      <c r="K6" s="181">
        <f>+K8+K10+K23</f>
        <v>0</v>
      </c>
      <c r="L6" s="181" t="e">
        <f>+L8+L10+L23</f>
        <v>#REF!</v>
      </c>
      <c r="M6" s="181" t="e">
        <f>+M8+M10+M23</f>
        <v>#REF!</v>
      </c>
      <c r="N6" s="181" t="e">
        <f>+N8+N10+N23</f>
        <v>#REF!</v>
      </c>
      <c r="O6" s="181" t="e">
        <f>+O8+O10+O23</f>
        <v>#REF!</v>
      </c>
    </row>
    <row r="7" spans="1:22" ht="30" customHeight="1" hidden="1">
      <c r="A7" s="182"/>
      <c r="B7" s="1820"/>
      <c r="C7" s="1821"/>
      <c r="D7" s="310"/>
      <c r="E7" s="311"/>
      <c r="F7" s="311"/>
      <c r="G7" s="311"/>
      <c r="H7" s="311"/>
      <c r="I7" s="311"/>
      <c r="J7" s="312" t="e">
        <f aca="true" t="shared" si="0" ref="J7:O7">+J9+J14+J16+J18+J20+J22+J27+J29+J31+J33+J35+J37+J39+J41+J43+J45+J47+J49+J51</f>
        <v>#REF!</v>
      </c>
      <c r="K7" s="312" t="e">
        <f t="shared" si="0"/>
        <v>#DIV/0!</v>
      </c>
      <c r="L7" s="312" t="e">
        <f t="shared" si="0"/>
        <v>#REF!</v>
      </c>
      <c r="M7" s="313" t="e">
        <f t="shared" si="0"/>
        <v>#REF!</v>
      </c>
      <c r="N7" s="312" t="e">
        <f t="shared" si="0"/>
        <v>#REF!</v>
      </c>
      <c r="O7" s="312" t="e">
        <f t="shared" si="0"/>
        <v>#REF!</v>
      </c>
      <c r="P7" s="183"/>
      <c r="Q7" s="184"/>
      <c r="S7" s="185"/>
      <c r="T7" s="184"/>
      <c r="V7" s="185"/>
    </row>
    <row r="8" spans="1:22" ht="18" customHeight="1">
      <c r="A8" s="182">
        <v>1</v>
      </c>
      <c r="B8" s="1805" t="s">
        <v>138</v>
      </c>
      <c r="C8" s="1806"/>
      <c r="D8" s="314" t="e">
        <f>+#REF!+#REF!</f>
        <v>#REF!</v>
      </c>
      <c r="E8" s="315" t="e">
        <f>+#REF!+#REF!</f>
        <v>#REF!</v>
      </c>
      <c r="F8" s="315" t="e">
        <f>+#REF!+#REF!</f>
        <v>#REF!</v>
      </c>
      <c r="G8" s="315" t="e">
        <f>+#REF!+#REF!</f>
        <v>#REF!</v>
      </c>
      <c r="H8" s="315" t="e">
        <f>+#REF!+#REF!</f>
        <v>#REF!</v>
      </c>
      <c r="I8" s="315" t="e">
        <f>+#REF!+#REF!</f>
        <v>#REF!</v>
      </c>
      <c r="J8" s="316" t="e">
        <f>+K8+L8+M8+N8+O8</f>
        <v>#REF!</v>
      </c>
      <c r="K8" s="316">
        <f>+K$54*K9/100</f>
        <v>0</v>
      </c>
      <c r="L8" s="316" t="e">
        <f>+L$54*L9/100</f>
        <v>#REF!</v>
      </c>
      <c r="M8" s="317" t="e">
        <f>+M$54*M9/100</f>
        <v>#REF!</v>
      </c>
      <c r="N8" s="316" t="e">
        <f>+N$54*N9/100</f>
        <v>#REF!</v>
      </c>
      <c r="O8" s="316" t="e">
        <f>+O$54*O9/100</f>
        <v>#REF!</v>
      </c>
      <c r="P8" s="185"/>
      <c r="Q8" s="184"/>
      <c r="S8" s="185"/>
      <c r="T8" s="184"/>
      <c r="V8" s="185"/>
    </row>
    <row r="9" spans="1:22" s="189" customFormat="1" ht="18" customHeight="1">
      <c r="A9" s="186"/>
      <c r="B9" s="1803" t="s">
        <v>139</v>
      </c>
      <c r="C9" s="1804"/>
      <c r="D9" s="318"/>
      <c r="E9" s="319"/>
      <c r="F9" s="319"/>
      <c r="G9" s="319"/>
      <c r="H9" s="319"/>
      <c r="I9" s="319"/>
      <c r="J9" s="320">
        <v>6.2</v>
      </c>
      <c r="K9" s="320">
        <v>6.2</v>
      </c>
      <c r="L9" s="320">
        <v>6.2</v>
      </c>
      <c r="M9" s="321">
        <v>6.2</v>
      </c>
      <c r="N9" s="320">
        <v>6.2</v>
      </c>
      <c r="O9" s="320">
        <v>6.2</v>
      </c>
      <c r="P9" s="187"/>
      <c r="Q9" s="188"/>
      <c r="S9" s="187"/>
      <c r="T9" s="188"/>
      <c r="V9" s="187"/>
    </row>
    <row r="10" spans="1:22" ht="18" customHeight="1">
      <c r="A10" s="182">
        <v>2</v>
      </c>
      <c r="B10" s="1805" t="s">
        <v>140</v>
      </c>
      <c r="C10" s="1806"/>
      <c r="D10" s="314"/>
      <c r="E10" s="315"/>
      <c r="F10" s="315"/>
      <c r="G10" s="315"/>
      <c r="H10" s="315"/>
      <c r="I10" s="315"/>
      <c r="J10" s="316" t="e">
        <f>+J13+J15+J17+J19+J21</f>
        <v>#REF!</v>
      </c>
      <c r="K10" s="316">
        <f aca="true" t="shared" si="1" ref="K10:O11">+K13+K15+K17+K19+K21</f>
        <v>0</v>
      </c>
      <c r="L10" s="316" t="e">
        <f t="shared" si="1"/>
        <v>#REF!</v>
      </c>
      <c r="M10" s="317" t="e">
        <f t="shared" si="1"/>
        <v>#REF!</v>
      </c>
      <c r="N10" s="316" t="e">
        <f t="shared" si="1"/>
        <v>#REF!</v>
      </c>
      <c r="O10" s="316" t="e">
        <f t="shared" si="1"/>
        <v>#REF!</v>
      </c>
      <c r="P10" s="185"/>
      <c r="Q10" s="184"/>
      <c r="S10" s="185"/>
      <c r="T10" s="184"/>
      <c r="V10" s="185"/>
    </row>
    <row r="11" spans="1:15" s="189" customFormat="1" ht="18" customHeight="1">
      <c r="A11" s="186"/>
      <c r="B11" s="1811" t="s">
        <v>139</v>
      </c>
      <c r="C11" s="1804"/>
      <c r="D11" s="319"/>
      <c r="E11" s="319"/>
      <c r="F11" s="319"/>
      <c r="G11" s="319"/>
      <c r="H11" s="319"/>
      <c r="I11" s="319"/>
      <c r="J11" s="320" t="e">
        <f>+J14+J16+J18+J20+J22</f>
        <v>#REF!</v>
      </c>
      <c r="K11" s="320">
        <f t="shared" si="1"/>
        <v>41.8</v>
      </c>
      <c r="L11" s="320">
        <f t="shared" si="1"/>
        <v>42.5</v>
      </c>
      <c r="M11" s="320">
        <f t="shared" si="1"/>
        <v>43.3</v>
      </c>
      <c r="N11" s="320">
        <f t="shared" si="1"/>
        <v>44.00000000000001</v>
      </c>
      <c r="O11" s="320">
        <f t="shared" si="1"/>
        <v>44.800000000000004</v>
      </c>
    </row>
    <row r="12" spans="1:15" s="189" customFormat="1" ht="18" customHeight="1">
      <c r="A12" s="186"/>
      <c r="B12" s="1811" t="s">
        <v>136</v>
      </c>
      <c r="C12" s="1804"/>
      <c r="D12" s="319"/>
      <c r="E12" s="319"/>
      <c r="F12" s="319"/>
      <c r="G12" s="319"/>
      <c r="H12" s="319"/>
      <c r="I12" s="319"/>
      <c r="J12" s="320"/>
      <c r="K12" s="320"/>
      <c r="L12" s="320"/>
      <c r="M12" s="320"/>
      <c r="N12" s="320"/>
      <c r="O12" s="320"/>
    </row>
    <row r="13" spans="1:15" ht="27" customHeight="1">
      <c r="A13" s="190"/>
      <c r="B13" s="191"/>
      <c r="C13" s="192" t="s">
        <v>142</v>
      </c>
      <c r="D13" s="193">
        <v>9588</v>
      </c>
      <c r="E13" s="193">
        <v>8141.1</v>
      </c>
      <c r="F13" s="193">
        <v>7964</v>
      </c>
      <c r="G13" s="193">
        <v>11342</v>
      </c>
      <c r="H13" s="193">
        <v>22477</v>
      </c>
      <c r="I13" s="193">
        <v>26862</v>
      </c>
      <c r="J13" s="203" t="e">
        <f>+K13+L13+M13+N13+O13</f>
        <v>#REF!</v>
      </c>
      <c r="K13" s="203">
        <f>+K$54*K14/100</f>
        <v>0</v>
      </c>
      <c r="L13" s="203" t="e">
        <f>+L$54*L14/100</f>
        <v>#REF!</v>
      </c>
      <c r="M13" s="203" t="e">
        <f>+M$54*M14/100</f>
        <v>#REF!</v>
      </c>
      <c r="N13" s="203" t="e">
        <f>+N$54*N14/100</f>
        <v>#REF!</v>
      </c>
      <c r="O13" s="203" t="e">
        <f>+O$54*O14/100</f>
        <v>#REF!</v>
      </c>
    </row>
    <row r="14" spans="1:15" s="189" customFormat="1" ht="26.25" customHeight="1">
      <c r="A14" s="194"/>
      <c r="B14" s="195"/>
      <c r="C14" s="196" t="s">
        <v>139</v>
      </c>
      <c r="D14" s="322"/>
      <c r="E14" s="322"/>
      <c r="F14" s="322"/>
      <c r="G14" s="322"/>
      <c r="H14" s="322"/>
      <c r="I14" s="322"/>
      <c r="J14" s="323" t="e">
        <f>100*J13/J$54</f>
        <v>#REF!</v>
      </c>
      <c r="K14" s="323">
        <v>8.2</v>
      </c>
      <c r="L14" s="323">
        <v>7.8</v>
      </c>
      <c r="M14" s="323">
        <v>7.4</v>
      </c>
      <c r="N14" s="323">
        <v>7</v>
      </c>
      <c r="O14" s="323">
        <v>6.6</v>
      </c>
    </row>
    <row r="15" spans="1:19" ht="25.5" customHeight="1">
      <c r="A15" s="190"/>
      <c r="B15" s="191"/>
      <c r="C15" s="192" t="s">
        <v>143</v>
      </c>
      <c r="D15" s="193">
        <v>29172</v>
      </c>
      <c r="E15" s="193">
        <v>38140.5</v>
      </c>
      <c r="F15" s="193">
        <v>45337</v>
      </c>
      <c r="G15" s="193">
        <v>51060</v>
      </c>
      <c r="H15" s="193">
        <v>58715</v>
      </c>
      <c r="I15" s="193">
        <v>68297</v>
      </c>
      <c r="J15" s="203" t="e">
        <f>+K15+L15+M15+N15+O15</f>
        <v>#REF!</v>
      </c>
      <c r="K15" s="203">
        <f>+K$54*K16/100</f>
        <v>0</v>
      </c>
      <c r="L15" s="203" t="e">
        <f>+L$54*L16/100</f>
        <v>#REF!</v>
      </c>
      <c r="M15" s="203" t="e">
        <f>+M$54*M16/100</f>
        <v>#REF!</v>
      </c>
      <c r="N15" s="203" t="e">
        <f>+N$54*N16/100</f>
        <v>#REF!</v>
      </c>
      <c r="O15" s="203" t="e">
        <f>+O$54*O16/100</f>
        <v>#REF!</v>
      </c>
      <c r="R15" s="172">
        <v>43550</v>
      </c>
      <c r="S15" s="197" t="e">
        <f>+L17+L19</f>
        <v>#REF!</v>
      </c>
    </row>
    <row r="16" spans="1:15" s="189" customFormat="1" ht="24" customHeight="1">
      <c r="A16" s="194"/>
      <c r="B16" s="195"/>
      <c r="C16" s="196" t="s">
        <v>139</v>
      </c>
      <c r="D16" s="322"/>
      <c r="E16" s="322"/>
      <c r="F16" s="322"/>
      <c r="G16" s="322"/>
      <c r="H16" s="322"/>
      <c r="I16" s="322"/>
      <c r="J16" s="323" t="e">
        <f>100*J15/J$54</f>
        <v>#REF!</v>
      </c>
      <c r="K16" s="323">
        <v>17.5</v>
      </c>
      <c r="L16" s="323">
        <v>18</v>
      </c>
      <c r="M16" s="323">
        <v>18.5</v>
      </c>
      <c r="N16" s="323">
        <v>19</v>
      </c>
      <c r="O16" s="323">
        <v>19.5</v>
      </c>
    </row>
    <row r="17" spans="1:19" ht="39" customHeight="1">
      <c r="A17" s="190"/>
      <c r="B17" s="191"/>
      <c r="C17" s="192" t="s">
        <v>144</v>
      </c>
      <c r="D17" s="193">
        <v>16983</v>
      </c>
      <c r="E17" s="193">
        <v>16921.6</v>
      </c>
      <c r="F17" s="193">
        <v>20943</v>
      </c>
      <c r="G17" s="193">
        <v>24884</v>
      </c>
      <c r="H17" s="193">
        <v>31983</v>
      </c>
      <c r="I17" s="193">
        <v>37743</v>
      </c>
      <c r="J17" s="203" t="e">
        <f>+K17+L17+M17+N17+O17</f>
        <v>#REF!</v>
      </c>
      <c r="K17" s="203">
        <f>+K$54*K18/100</f>
        <v>0</v>
      </c>
      <c r="L17" s="203" t="e">
        <f>+L$54*L18/100</f>
        <v>#REF!</v>
      </c>
      <c r="M17" s="203" t="e">
        <f>+M$54*M18/100</f>
        <v>#REF!</v>
      </c>
      <c r="N17" s="203" t="e">
        <f>+N$54*N18/100</f>
        <v>#REF!</v>
      </c>
      <c r="O17" s="203" t="e">
        <f>+O$54*O18/100</f>
        <v>#REF!</v>
      </c>
      <c r="S17" s="172" t="e">
        <f>+L17/S15</f>
        <v>#REF!</v>
      </c>
    </row>
    <row r="18" spans="1:15" s="189" customFormat="1" ht="22.5" customHeight="1">
      <c r="A18" s="194"/>
      <c r="B18" s="195"/>
      <c r="C18" s="196" t="s">
        <v>139</v>
      </c>
      <c r="D18" s="322"/>
      <c r="E18" s="322"/>
      <c r="F18" s="322"/>
      <c r="G18" s="322"/>
      <c r="H18" s="322"/>
      <c r="I18" s="322"/>
      <c r="J18" s="323" t="e">
        <f>100*J17/J$54</f>
        <v>#REF!</v>
      </c>
      <c r="K18" s="323">
        <v>9.5</v>
      </c>
      <c r="L18" s="323">
        <v>9.7</v>
      </c>
      <c r="M18" s="323">
        <v>10</v>
      </c>
      <c r="N18" s="323">
        <v>10.2</v>
      </c>
      <c r="O18" s="323">
        <v>10.5</v>
      </c>
    </row>
    <row r="19" spans="1:19" ht="36.75" customHeight="1">
      <c r="A19" s="190"/>
      <c r="B19" s="191"/>
      <c r="C19" s="192" t="s">
        <v>145</v>
      </c>
      <c r="D19" s="193"/>
      <c r="E19" s="193"/>
      <c r="F19" s="193"/>
      <c r="G19" s="193"/>
      <c r="H19" s="193"/>
      <c r="I19" s="193"/>
      <c r="J19" s="203" t="e">
        <f>+K19+L19+M19+N19+O19</f>
        <v>#REF!</v>
      </c>
      <c r="K19" s="203">
        <f>+K$54*K20/100</f>
        <v>0</v>
      </c>
      <c r="L19" s="203" t="e">
        <f>+L$54*L20/100</f>
        <v>#REF!</v>
      </c>
      <c r="M19" s="203" t="e">
        <f>+M$54*M20/100</f>
        <v>#REF!</v>
      </c>
      <c r="N19" s="203" t="e">
        <f>+N$54*N20/100</f>
        <v>#REF!</v>
      </c>
      <c r="O19" s="203" t="e">
        <f>+O$54*O20/100</f>
        <v>#REF!</v>
      </c>
      <c r="S19" s="172" t="e">
        <f>+L19/S15</f>
        <v>#REF!</v>
      </c>
    </row>
    <row r="20" spans="1:15" s="189" customFormat="1" ht="18" customHeight="1">
      <c r="A20" s="194"/>
      <c r="B20" s="195"/>
      <c r="C20" s="196" t="s">
        <v>139</v>
      </c>
      <c r="D20" s="322"/>
      <c r="E20" s="322"/>
      <c r="F20" s="322"/>
      <c r="G20" s="322"/>
      <c r="H20" s="322"/>
      <c r="I20" s="322"/>
      <c r="J20" s="323" t="e">
        <f>100*J19/J$54</f>
        <v>#REF!</v>
      </c>
      <c r="K20" s="323">
        <v>2.8</v>
      </c>
      <c r="L20" s="323">
        <v>2.9</v>
      </c>
      <c r="M20" s="323">
        <v>3</v>
      </c>
      <c r="N20" s="323">
        <v>3.1</v>
      </c>
      <c r="O20" s="323">
        <v>3.2</v>
      </c>
    </row>
    <row r="21" spans="1:15" ht="24.75" customHeight="1">
      <c r="A21" s="190"/>
      <c r="B21" s="191"/>
      <c r="C21" s="192" t="s">
        <v>146</v>
      </c>
      <c r="D21" s="193">
        <v>3563</v>
      </c>
      <c r="E21" s="193">
        <v>9045.8</v>
      </c>
      <c r="F21" s="193">
        <v>10490</v>
      </c>
      <c r="G21" s="193">
        <v>11508</v>
      </c>
      <c r="H21" s="193">
        <v>11197</v>
      </c>
      <c r="I21" s="193">
        <v>13202</v>
      </c>
      <c r="J21" s="203" t="e">
        <f>+K21+L21+M21+N21+O21</f>
        <v>#REF!</v>
      </c>
      <c r="K21" s="203">
        <f>+K$54*K22/100</f>
        <v>0</v>
      </c>
      <c r="L21" s="203" t="e">
        <f>+L$54*L22/100</f>
        <v>#REF!</v>
      </c>
      <c r="M21" s="203" t="e">
        <f>+M$54*M22/100</f>
        <v>#REF!</v>
      </c>
      <c r="N21" s="203" t="e">
        <f>+N$54*N22/100</f>
        <v>#REF!</v>
      </c>
      <c r="O21" s="203" t="e">
        <f>+O$54*O22/100</f>
        <v>#REF!</v>
      </c>
    </row>
    <row r="22" spans="1:22" s="189" customFormat="1" ht="21" customHeight="1">
      <c r="A22" s="186"/>
      <c r="B22" s="198"/>
      <c r="C22" s="196" t="s">
        <v>139</v>
      </c>
      <c r="D22" s="318"/>
      <c r="E22" s="319"/>
      <c r="F22" s="319"/>
      <c r="G22" s="319"/>
      <c r="H22" s="319"/>
      <c r="I22" s="319"/>
      <c r="J22" s="324" t="e">
        <f>100*J21/J$54</f>
        <v>#REF!</v>
      </c>
      <c r="K22" s="320">
        <v>3.8</v>
      </c>
      <c r="L22" s="320">
        <v>4.1</v>
      </c>
      <c r="M22" s="321">
        <v>4.4</v>
      </c>
      <c r="N22" s="320">
        <v>4.7</v>
      </c>
      <c r="O22" s="320">
        <v>5</v>
      </c>
      <c r="P22" s="187"/>
      <c r="Q22" s="188"/>
      <c r="S22" s="187"/>
      <c r="T22" s="188"/>
      <c r="V22" s="187"/>
    </row>
    <row r="23" spans="1:20" s="189" customFormat="1" ht="23.25" customHeight="1">
      <c r="A23" s="190">
        <v>3</v>
      </c>
      <c r="B23" s="1816" t="s">
        <v>68</v>
      </c>
      <c r="C23" s="1817"/>
      <c r="D23" s="318"/>
      <c r="E23" s="319"/>
      <c r="F23" s="319"/>
      <c r="G23" s="319"/>
      <c r="H23" s="319"/>
      <c r="I23" s="319"/>
      <c r="J23" s="325" t="e">
        <f aca="true" t="shared" si="2" ref="J23:O24">+J26+J28+J30+J32+J34+J36+J38+J40+J44+J46+J50</f>
        <v>#REF!</v>
      </c>
      <c r="K23" s="316">
        <f t="shared" si="2"/>
        <v>0</v>
      </c>
      <c r="L23" s="316" t="e">
        <f t="shared" si="2"/>
        <v>#REF!</v>
      </c>
      <c r="M23" s="317" t="e">
        <f t="shared" si="2"/>
        <v>#REF!</v>
      </c>
      <c r="N23" s="316" t="e">
        <f t="shared" si="2"/>
        <v>#REF!</v>
      </c>
      <c r="O23" s="316" t="e">
        <f t="shared" si="2"/>
        <v>#REF!</v>
      </c>
      <c r="P23" s="187"/>
      <c r="Q23" s="188"/>
      <c r="S23" s="187"/>
      <c r="T23" s="188"/>
    </row>
    <row r="24" spans="1:22" s="189" customFormat="1" ht="18" customHeight="1">
      <c r="A24" s="194"/>
      <c r="B24" s="1803" t="s">
        <v>139</v>
      </c>
      <c r="C24" s="1804"/>
      <c r="D24" s="318"/>
      <c r="E24" s="319"/>
      <c r="F24" s="319"/>
      <c r="G24" s="319"/>
      <c r="H24" s="319"/>
      <c r="I24" s="319"/>
      <c r="J24" s="324" t="e">
        <f t="shared" si="2"/>
        <v>#REF!</v>
      </c>
      <c r="K24" s="320" t="e">
        <f t="shared" si="2"/>
        <v>#DIV/0!</v>
      </c>
      <c r="L24" s="320" t="e">
        <f t="shared" si="2"/>
        <v>#REF!</v>
      </c>
      <c r="M24" s="321" t="e">
        <f t="shared" si="2"/>
        <v>#REF!</v>
      </c>
      <c r="N24" s="320" t="e">
        <f t="shared" si="2"/>
        <v>#REF!</v>
      </c>
      <c r="O24" s="320" t="e">
        <f t="shared" si="2"/>
        <v>#REF!</v>
      </c>
      <c r="P24" s="187"/>
      <c r="Q24" s="188"/>
      <c r="S24" s="187"/>
      <c r="T24" s="188"/>
      <c r="V24" s="187"/>
    </row>
    <row r="25" spans="1:20" s="189" customFormat="1" ht="18" customHeight="1">
      <c r="A25" s="194"/>
      <c r="B25" s="1818" t="s">
        <v>141</v>
      </c>
      <c r="C25" s="1819"/>
      <c r="D25" s="319"/>
      <c r="E25" s="319"/>
      <c r="F25" s="319"/>
      <c r="G25" s="319"/>
      <c r="H25" s="319"/>
      <c r="I25" s="319"/>
      <c r="J25" s="320"/>
      <c r="K25" s="320"/>
      <c r="L25" s="320"/>
      <c r="M25" s="321"/>
      <c r="N25" s="320"/>
      <c r="O25" s="320"/>
      <c r="P25" s="187"/>
      <c r="Q25" s="188"/>
      <c r="S25" s="187"/>
      <c r="T25" s="188"/>
    </row>
    <row r="26" spans="1:22" ht="36" customHeight="1">
      <c r="A26" s="190"/>
      <c r="B26" s="199"/>
      <c r="C26" s="192" t="s">
        <v>147</v>
      </c>
      <c r="D26" s="200">
        <v>3035</v>
      </c>
      <c r="E26" s="193">
        <v>7953</v>
      </c>
      <c r="F26" s="193">
        <v>11962</v>
      </c>
      <c r="G26" s="193">
        <v>14763</v>
      </c>
      <c r="H26" s="193">
        <v>15659</v>
      </c>
      <c r="I26" s="193">
        <v>18359</v>
      </c>
      <c r="J26" s="203" t="e">
        <f>+K26+L26+M26+N26+O26</f>
        <v>#REF!</v>
      </c>
      <c r="K26" s="203">
        <f>+K$54*K27/100</f>
        <v>0</v>
      </c>
      <c r="L26" s="203" t="e">
        <f>+L$54*L27/100</f>
        <v>#REF!</v>
      </c>
      <c r="M26" s="326" t="e">
        <f>+M$54*M27/100</f>
        <v>#REF!</v>
      </c>
      <c r="N26" s="203" t="e">
        <f>+N$54*N27/100</f>
        <v>#REF!</v>
      </c>
      <c r="O26" s="203" t="e">
        <f>+O$54*O27/100</f>
        <v>#REF!</v>
      </c>
      <c r="P26" s="185"/>
      <c r="Q26" s="184"/>
      <c r="R26" s="172">
        <v>58410</v>
      </c>
      <c r="S26" s="201" t="e">
        <f>+L28+L32</f>
        <v>#REF!</v>
      </c>
      <c r="T26" s="184"/>
      <c r="V26" s="185"/>
    </row>
    <row r="27" spans="1:15" s="189" customFormat="1" ht="18" customHeight="1">
      <c r="A27" s="194"/>
      <c r="B27" s="195"/>
      <c r="C27" s="196" t="s">
        <v>139</v>
      </c>
      <c r="D27" s="322"/>
      <c r="E27" s="322"/>
      <c r="F27" s="322"/>
      <c r="G27" s="322"/>
      <c r="H27" s="322"/>
      <c r="I27" s="322"/>
      <c r="J27" s="323" t="e">
        <f>100*J26/J$54</f>
        <v>#REF!</v>
      </c>
      <c r="K27" s="323">
        <v>4.2</v>
      </c>
      <c r="L27" s="323">
        <v>4.2</v>
      </c>
      <c r="M27" s="323">
        <v>4.2</v>
      </c>
      <c r="N27" s="323">
        <v>4.2</v>
      </c>
      <c r="O27" s="323">
        <v>4.2</v>
      </c>
    </row>
    <row r="28" spans="1:19" ht="18" customHeight="1">
      <c r="A28" s="190"/>
      <c r="B28" s="191"/>
      <c r="C28" s="192" t="s">
        <v>148</v>
      </c>
      <c r="D28" s="193">
        <v>19913</v>
      </c>
      <c r="E28" s="193">
        <v>26999.1</v>
      </c>
      <c r="F28" s="193">
        <v>32398</v>
      </c>
      <c r="G28" s="193">
        <v>38226</v>
      </c>
      <c r="H28" s="193">
        <v>39381</v>
      </c>
      <c r="I28" s="193">
        <v>48252</v>
      </c>
      <c r="J28" s="203" t="e">
        <f>+K28+L28+M28+N28+O28</f>
        <v>#REF!</v>
      </c>
      <c r="K28" s="203">
        <f>+K$54*K29/100</f>
        <v>0</v>
      </c>
      <c r="L28" s="203" t="e">
        <f>+L$54*L29/100</f>
        <v>#REF!</v>
      </c>
      <c r="M28" s="203" t="e">
        <f>+M$54*M29/100</f>
        <v>#REF!</v>
      </c>
      <c r="N28" s="203" t="e">
        <f>+N$54*N29/100</f>
        <v>#REF!</v>
      </c>
      <c r="O28" s="203" t="e">
        <f>+O$54*O29/100</f>
        <v>#REF!</v>
      </c>
      <c r="S28" s="172" t="e">
        <f>+L28/S26</f>
        <v>#REF!</v>
      </c>
    </row>
    <row r="29" spans="1:15" s="189" customFormat="1" ht="18" customHeight="1">
      <c r="A29" s="194"/>
      <c r="B29" s="195"/>
      <c r="C29" s="196" t="s">
        <v>139</v>
      </c>
      <c r="D29" s="322"/>
      <c r="E29" s="322"/>
      <c r="F29" s="322"/>
      <c r="G29" s="322"/>
      <c r="H29" s="322"/>
      <c r="I29" s="322"/>
      <c r="J29" s="323" t="e">
        <f>100*J28/J$54</f>
        <v>#REF!</v>
      </c>
      <c r="K29" s="323">
        <v>12.3</v>
      </c>
      <c r="L29" s="323">
        <v>12.6</v>
      </c>
      <c r="M29" s="323">
        <v>12.9</v>
      </c>
      <c r="N29" s="323">
        <v>13.2</v>
      </c>
      <c r="O29" s="323">
        <v>13.5</v>
      </c>
    </row>
    <row r="30" spans="1:19" ht="18" customHeight="1">
      <c r="A30" s="190"/>
      <c r="B30" s="191"/>
      <c r="C30" s="192" t="s">
        <v>149</v>
      </c>
      <c r="D30" s="193">
        <v>4453</v>
      </c>
      <c r="E30" s="193">
        <v>2974.7</v>
      </c>
      <c r="F30" s="193">
        <v>3847</v>
      </c>
      <c r="G30" s="193">
        <v>4230</v>
      </c>
      <c r="H30" s="193">
        <v>5549</v>
      </c>
      <c r="I30" s="193">
        <v>6628</v>
      </c>
      <c r="J30" s="203" t="e">
        <f>+K30+L30+M30+N30+O30</f>
        <v>#REF!</v>
      </c>
      <c r="K30" s="203">
        <f>+K$54*K31/100</f>
        <v>0</v>
      </c>
      <c r="L30" s="203" t="e">
        <f>+L$54*L31/100</f>
        <v>#REF!</v>
      </c>
      <c r="M30" s="203" t="e">
        <f>+M$54*M31/100</f>
        <v>#REF!</v>
      </c>
      <c r="N30" s="203" t="e">
        <f>+N$54*N31/100</f>
        <v>#REF!</v>
      </c>
      <c r="O30" s="203" t="e">
        <f>+O$54*O31/100</f>
        <v>#REF!</v>
      </c>
      <c r="S30" s="172" t="e">
        <f>+L32/S26</f>
        <v>#REF!</v>
      </c>
    </row>
    <row r="31" spans="1:15" s="189" customFormat="1" ht="18" customHeight="1">
      <c r="A31" s="194"/>
      <c r="B31" s="195"/>
      <c r="C31" s="196" t="s">
        <v>139</v>
      </c>
      <c r="D31" s="322"/>
      <c r="E31" s="322"/>
      <c r="F31" s="322"/>
      <c r="G31" s="322"/>
      <c r="H31" s="322"/>
      <c r="I31" s="322"/>
      <c r="J31" s="323" t="e">
        <f>100*J30/J$54</f>
        <v>#REF!</v>
      </c>
      <c r="K31" s="323">
        <v>2.1</v>
      </c>
      <c r="L31" s="323">
        <v>2.1</v>
      </c>
      <c r="M31" s="323">
        <v>2.1</v>
      </c>
      <c r="N31" s="323">
        <v>2.1</v>
      </c>
      <c r="O31" s="323">
        <v>2.1</v>
      </c>
    </row>
    <row r="32" spans="1:19" ht="18" customHeight="1">
      <c r="A32" s="190"/>
      <c r="B32" s="191"/>
      <c r="C32" s="192" t="s">
        <v>150</v>
      </c>
      <c r="D32" s="193"/>
      <c r="E32" s="193"/>
      <c r="F32" s="193"/>
      <c r="G32" s="193"/>
      <c r="H32" s="193"/>
      <c r="I32" s="193"/>
      <c r="J32" s="203" t="e">
        <f>+K32+L32+M32+N32+O32</f>
        <v>#REF!</v>
      </c>
      <c r="K32" s="203">
        <f>+K$54*K33/100</f>
        <v>0</v>
      </c>
      <c r="L32" s="203" t="e">
        <f>+L$54*L33/100</f>
        <v>#REF!</v>
      </c>
      <c r="M32" s="203" t="e">
        <f>+M$54*M33/100</f>
        <v>#REF!</v>
      </c>
      <c r="N32" s="203" t="e">
        <f>+N$54*N33/100</f>
        <v>#REF!</v>
      </c>
      <c r="O32" s="203" t="e">
        <f>+O$54*O33/100</f>
        <v>#REF!</v>
      </c>
      <c r="S32" s="197"/>
    </row>
    <row r="33" spans="1:15" s="189" customFormat="1" ht="18" customHeight="1">
      <c r="A33" s="194"/>
      <c r="B33" s="195"/>
      <c r="C33" s="196" t="s">
        <v>139</v>
      </c>
      <c r="D33" s="322"/>
      <c r="E33" s="322"/>
      <c r="F33" s="322"/>
      <c r="G33" s="322"/>
      <c r="H33" s="322"/>
      <c r="I33" s="322"/>
      <c r="J33" s="323" t="e">
        <f>100*J32/J$54</f>
        <v>#REF!</v>
      </c>
      <c r="K33" s="323">
        <v>3.6</v>
      </c>
      <c r="L33" s="323">
        <v>3.6</v>
      </c>
      <c r="M33" s="323">
        <v>3.6</v>
      </c>
      <c r="N33" s="323">
        <v>3.6</v>
      </c>
      <c r="O33" s="323">
        <v>3.6</v>
      </c>
    </row>
    <row r="34" spans="1:15" ht="28.5" customHeight="1">
      <c r="A34" s="190"/>
      <c r="B34" s="191"/>
      <c r="C34" s="192" t="s">
        <v>151</v>
      </c>
      <c r="D34" s="193">
        <v>1303</v>
      </c>
      <c r="E34" s="193">
        <v>2017.6</v>
      </c>
      <c r="F34" s="193">
        <v>1120</v>
      </c>
      <c r="G34" s="193">
        <v>1983</v>
      </c>
      <c r="H34" s="193">
        <v>1800</v>
      </c>
      <c r="I34" s="193">
        <v>2174</v>
      </c>
      <c r="J34" s="203" t="e">
        <f>+K34+L34+M34+N34+O34</f>
        <v>#REF!</v>
      </c>
      <c r="K34" s="203">
        <f>+K$54*K35/100</f>
        <v>0</v>
      </c>
      <c r="L34" s="203" t="e">
        <f>+L$54*L35/100</f>
        <v>#REF!</v>
      </c>
      <c r="M34" s="203" t="e">
        <f>+M$54*M35/100</f>
        <v>#REF!</v>
      </c>
      <c r="N34" s="203" t="e">
        <f>+N$54*N35/100</f>
        <v>#REF!</v>
      </c>
      <c r="O34" s="203" t="e">
        <f>+O$54*O35/100</f>
        <v>#REF!</v>
      </c>
    </row>
    <row r="35" spans="1:15" s="189" customFormat="1" ht="18" customHeight="1">
      <c r="A35" s="194"/>
      <c r="B35" s="195"/>
      <c r="C35" s="196" t="s">
        <v>139</v>
      </c>
      <c r="D35" s="322"/>
      <c r="E35" s="322"/>
      <c r="F35" s="322"/>
      <c r="G35" s="322"/>
      <c r="H35" s="322"/>
      <c r="I35" s="322"/>
      <c r="J35" s="323" t="e">
        <f>100*J34/J$54</f>
        <v>#REF!</v>
      </c>
      <c r="K35" s="323">
        <v>1.5</v>
      </c>
      <c r="L35" s="323">
        <v>1.5</v>
      </c>
      <c r="M35" s="323">
        <v>1.5</v>
      </c>
      <c r="N35" s="323">
        <v>1.5</v>
      </c>
      <c r="O35" s="323">
        <v>1.5</v>
      </c>
    </row>
    <row r="36" spans="1:15" ht="18" customHeight="1">
      <c r="A36" s="190"/>
      <c r="B36" s="191"/>
      <c r="C36" s="192" t="s">
        <v>152</v>
      </c>
      <c r="D36" s="193">
        <v>4031</v>
      </c>
      <c r="E36" s="193">
        <v>1734.6</v>
      </c>
      <c r="F36" s="193">
        <v>2612</v>
      </c>
      <c r="G36" s="193">
        <v>3605</v>
      </c>
      <c r="H36" s="193">
        <v>5025</v>
      </c>
      <c r="I36" s="193">
        <v>5705</v>
      </c>
      <c r="J36" s="203" t="e">
        <f>+K36+L36+M36+N36+O36</f>
        <v>#REF!</v>
      </c>
      <c r="K36" s="203">
        <f>+K$54*K37/100</f>
        <v>0</v>
      </c>
      <c r="L36" s="203" t="e">
        <f>+L$54*L37/100</f>
        <v>#REF!</v>
      </c>
      <c r="M36" s="203" t="e">
        <f>+M$54*M37/100</f>
        <v>#REF!</v>
      </c>
      <c r="N36" s="203" t="e">
        <f>+N$54*N37/100</f>
        <v>#REF!</v>
      </c>
      <c r="O36" s="203" t="e">
        <f>+O$54*O37/100</f>
        <v>#REF!</v>
      </c>
    </row>
    <row r="37" spans="1:15" s="189" customFormat="1" ht="18" customHeight="1">
      <c r="A37" s="194"/>
      <c r="B37" s="195"/>
      <c r="C37" s="196" t="s">
        <v>139</v>
      </c>
      <c r="D37" s="322"/>
      <c r="E37" s="322"/>
      <c r="F37" s="322"/>
      <c r="G37" s="322"/>
      <c r="H37" s="322"/>
      <c r="I37" s="322"/>
      <c r="J37" s="323" t="e">
        <f>100*J36/J$54</f>
        <v>#REF!</v>
      </c>
      <c r="K37" s="323">
        <v>4.6</v>
      </c>
      <c r="L37" s="323">
        <v>4.5</v>
      </c>
      <c r="M37" s="323">
        <v>4.4</v>
      </c>
      <c r="N37" s="323">
        <v>4.3</v>
      </c>
      <c r="O37" s="323">
        <v>4.2</v>
      </c>
    </row>
    <row r="38" spans="1:19" ht="36.75" customHeight="1">
      <c r="A38" s="190"/>
      <c r="B38" s="191"/>
      <c r="C38" s="192" t="s">
        <v>153</v>
      </c>
      <c r="D38" s="193">
        <v>1883</v>
      </c>
      <c r="E38" s="193">
        <v>1935.5</v>
      </c>
      <c r="F38" s="193">
        <v>695</v>
      </c>
      <c r="G38" s="193"/>
      <c r="H38" s="193">
        <v>1351</v>
      </c>
      <c r="I38" s="193">
        <v>1486</v>
      </c>
      <c r="J38" s="203" t="e">
        <f>+K38+L38+M38+N38+O38</f>
        <v>#REF!</v>
      </c>
      <c r="K38" s="203">
        <f>+K$54*K39/100</f>
        <v>0</v>
      </c>
      <c r="L38" s="203" t="e">
        <f>+L$54*L39/100</f>
        <v>#REF!</v>
      </c>
      <c r="M38" s="203" t="e">
        <f>+M$54*M39/100</f>
        <v>#REF!</v>
      </c>
      <c r="N38" s="203" t="e">
        <f>+N$54*N39/100</f>
        <v>#REF!</v>
      </c>
      <c r="O38" s="203" t="e">
        <f>+O$54*O39/100</f>
        <v>#REF!</v>
      </c>
      <c r="R38" s="172">
        <f>1456+65373+11914</f>
        <v>78743</v>
      </c>
      <c r="S38" s="197" t="e">
        <f>+L40+L42+L50</f>
        <v>#REF!</v>
      </c>
    </row>
    <row r="39" spans="1:22" s="189" customFormat="1" ht="18" customHeight="1">
      <c r="A39" s="194"/>
      <c r="B39" s="198"/>
      <c r="C39" s="196" t="s">
        <v>139</v>
      </c>
      <c r="D39" s="327"/>
      <c r="E39" s="322"/>
      <c r="F39" s="322"/>
      <c r="G39" s="322"/>
      <c r="H39" s="322"/>
      <c r="I39" s="322"/>
      <c r="J39" s="323" t="e">
        <f>100*J38/J$54</f>
        <v>#REF!</v>
      </c>
      <c r="K39" s="323">
        <v>1.1</v>
      </c>
      <c r="L39" s="323">
        <v>1.1</v>
      </c>
      <c r="M39" s="328">
        <v>1.1</v>
      </c>
      <c r="N39" s="323">
        <v>1.1</v>
      </c>
      <c r="O39" s="323">
        <v>1.1</v>
      </c>
      <c r="P39" s="187"/>
      <c r="Q39" s="188"/>
      <c r="S39" s="187"/>
      <c r="T39" s="188"/>
      <c r="V39" s="187"/>
    </row>
    <row r="40" spans="1:19" ht="18" customHeight="1">
      <c r="A40" s="190"/>
      <c r="B40" s="191"/>
      <c r="C40" s="192" t="s">
        <v>154</v>
      </c>
      <c r="D40" s="193">
        <v>3914</v>
      </c>
      <c r="E40" s="193">
        <v>3854</v>
      </c>
      <c r="F40" s="193">
        <v>3072</v>
      </c>
      <c r="G40" s="193">
        <v>4452</v>
      </c>
      <c r="H40" s="193">
        <v>8260</v>
      </c>
      <c r="I40" s="193">
        <v>9727</v>
      </c>
      <c r="J40" s="203" t="e">
        <f>+K40+L40+M40+N40+O40</f>
        <v>#REF!</v>
      </c>
      <c r="K40" s="203">
        <f>+K$54*K41/100</f>
        <v>0</v>
      </c>
      <c r="L40" s="203" t="e">
        <f>+L$54*L41/100</f>
        <v>#REF!</v>
      </c>
      <c r="M40" s="203" t="e">
        <f>+M$54*M41/100</f>
        <v>#REF!</v>
      </c>
      <c r="N40" s="203" t="e">
        <f>+N$54*N41/100</f>
        <v>#REF!</v>
      </c>
      <c r="O40" s="203" t="e">
        <f>+O$54*O41/100</f>
        <v>#REF!</v>
      </c>
      <c r="S40" s="172" t="e">
        <f>+L40/S38</f>
        <v>#REF!</v>
      </c>
    </row>
    <row r="41" spans="1:15" s="189" customFormat="1" ht="18" customHeight="1">
      <c r="A41" s="194"/>
      <c r="B41" s="195"/>
      <c r="C41" s="196" t="s">
        <v>139</v>
      </c>
      <c r="D41" s="322"/>
      <c r="E41" s="322"/>
      <c r="F41" s="322"/>
      <c r="G41" s="322"/>
      <c r="H41" s="322"/>
      <c r="I41" s="322"/>
      <c r="J41" s="323" t="e">
        <f>100*J40/J$54</f>
        <v>#REF!</v>
      </c>
      <c r="K41" s="323">
        <v>3.4</v>
      </c>
      <c r="L41" s="323">
        <v>3.4</v>
      </c>
      <c r="M41" s="323">
        <v>3.4</v>
      </c>
      <c r="N41" s="323">
        <v>3.4</v>
      </c>
      <c r="O41" s="323">
        <v>3.4</v>
      </c>
    </row>
    <row r="42" spans="1:19" ht="55.5" customHeight="1" hidden="1">
      <c r="A42" s="190"/>
      <c r="B42" s="191"/>
      <c r="C42" s="192" t="s">
        <v>155</v>
      </c>
      <c r="D42" s="193">
        <v>793</v>
      </c>
      <c r="E42" s="193">
        <v>342</v>
      </c>
      <c r="F42" s="193">
        <v>818</v>
      </c>
      <c r="G42" s="193">
        <v>892</v>
      </c>
      <c r="H42" s="193">
        <v>1015</v>
      </c>
      <c r="I42" s="193">
        <v>1217</v>
      </c>
      <c r="J42" s="203"/>
      <c r="K42" s="203"/>
      <c r="L42" s="203"/>
      <c r="M42" s="203"/>
      <c r="N42" s="203"/>
      <c r="O42" s="203"/>
      <c r="S42" s="172" t="e">
        <f>+L42/S38</f>
        <v>#REF!</v>
      </c>
    </row>
    <row r="43" spans="1:15" s="189" customFormat="1" ht="18" customHeight="1" hidden="1">
      <c r="A43" s="194"/>
      <c r="B43" s="195"/>
      <c r="C43" s="196" t="s">
        <v>139</v>
      </c>
      <c r="D43" s="322"/>
      <c r="E43" s="322"/>
      <c r="F43" s="322"/>
      <c r="G43" s="322"/>
      <c r="H43" s="322"/>
      <c r="I43" s="322"/>
      <c r="J43" s="323"/>
      <c r="K43" s="323"/>
      <c r="L43" s="323"/>
      <c r="M43" s="323"/>
      <c r="N43" s="323"/>
      <c r="O43" s="323"/>
    </row>
    <row r="44" spans="1:19" ht="18" customHeight="1">
      <c r="A44" s="190"/>
      <c r="B44" s="191"/>
      <c r="C44" s="192" t="s">
        <v>156</v>
      </c>
      <c r="D44" s="193">
        <v>6084</v>
      </c>
      <c r="E44" s="193">
        <v>6225.3</v>
      </c>
      <c r="F44" s="193">
        <v>5882</v>
      </c>
      <c r="G44" s="193">
        <v>7118</v>
      </c>
      <c r="H44" s="193">
        <v>8614</v>
      </c>
      <c r="I44" s="193">
        <v>10097</v>
      </c>
      <c r="J44" s="203" t="e">
        <f>+K44+L44+M44+N44+O44</f>
        <v>#REF!</v>
      </c>
      <c r="K44" s="203">
        <f>+K$54*K45/100</f>
        <v>0</v>
      </c>
      <c r="L44" s="203" t="e">
        <f>+L$54*L45/100</f>
        <v>#REF!</v>
      </c>
      <c r="M44" s="203" t="e">
        <f>+M$54*M45/100</f>
        <v>#REF!</v>
      </c>
      <c r="N44" s="203" t="e">
        <f>+N$54*N45/100</f>
        <v>#REF!</v>
      </c>
      <c r="O44" s="203" t="e">
        <f>+O$54*O45/100</f>
        <v>#REF!</v>
      </c>
      <c r="S44" s="172" t="e">
        <f>+L50/S38</f>
        <v>#REF!</v>
      </c>
    </row>
    <row r="45" spans="1:15" s="189" customFormat="1" ht="18" customHeight="1">
      <c r="A45" s="194"/>
      <c r="B45" s="195"/>
      <c r="C45" s="196" t="s">
        <v>139</v>
      </c>
      <c r="D45" s="322"/>
      <c r="E45" s="322"/>
      <c r="F45" s="322"/>
      <c r="G45" s="322"/>
      <c r="H45" s="322"/>
      <c r="I45" s="322"/>
      <c r="J45" s="323" t="e">
        <f>100*J44/J$54</f>
        <v>#REF!</v>
      </c>
      <c r="K45" s="323">
        <v>2.9</v>
      </c>
      <c r="L45" s="323">
        <v>3</v>
      </c>
      <c r="M45" s="323">
        <v>3.1</v>
      </c>
      <c r="N45" s="323">
        <v>3.2</v>
      </c>
      <c r="O45" s="323">
        <v>3.3</v>
      </c>
    </row>
    <row r="46" spans="1:15" ht="18" customHeight="1">
      <c r="A46" s="190"/>
      <c r="B46" s="191"/>
      <c r="C46" s="192" t="s">
        <v>157</v>
      </c>
      <c r="D46" s="193">
        <v>2323</v>
      </c>
      <c r="E46" s="193">
        <v>2770.1</v>
      </c>
      <c r="F46" s="193">
        <v>3207</v>
      </c>
      <c r="G46" s="193">
        <v>4370</v>
      </c>
      <c r="H46" s="193">
        <v>5665</v>
      </c>
      <c r="I46" s="193">
        <v>5775</v>
      </c>
      <c r="J46" s="203" t="e">
        <f>+K46+L46+M46+N46+O46</f>
        <v>#REF!</v>
      </c>
      <c r="K46" s="203">
        <f>+K$54*K47/100</f>
        <v>0</v>
      </c>
      <c r="L46" s="203" t="e">
        <f>+L$54*L47/100</f>
        <v>#REF!</v>
      </c>
      <c r="M46" s="203" t="e">
        <f>+M$54*M47/100</f>
        <v>#REF!</v>
      </c>
      <c r="N46" s="203" t="e">
        <f>+N$54*N47/100</f>
        <v>#REF!</v>
      </c>
      <c r="O46" s="203" t="e">
        <f>+O$54*O47/100</f>
        <v>#REF!</v>
      </c>
    </row>
    <row r="47" spans="1:15" s="189" customFormat="1" ht="18" customHeight="1">
      <c r="A47" s="194"/>
      <c r="B47" s="195"/>
      <c r="C47" s="196" t="s">
        <v>139</v>
      </c>
      <c r="D47" s="322"/>
      <c r="E47" s="322"/>
      <c r="F47" s="322"/>
      <c r="G47" s="322"/>
      <c r="H47" s="322"/>
      <c r="I47" s="322"/>
      <c r="J47" s="323" t="e">
        <f>100*J46/J$54</f>
        <v>#REF!</v>
      </c>
      <c r="K47" s="323">
        <v>1.5</v>
      </c>
      <c r="L47" s="323">
        <v>1.6</v>
      </c>
      <c r="M47" s="323">
        <v>1.7</v>
      </c>
      <c r="N47" s="323">
        <v>1.8</v>
      </c>
      <c r="O47" s="323">
        <v>1.9</v>
      </c>
    </row>
    <row r="48" spans="1:15" ht="18" customHeight="1" hidden="1">
      <c r="A48" s="190"/>
      <c r="B48" s="191"/>
      <c r="C48" s="192" t="s">
        <v>158</v>
      </c>
      <c r="D48" s="193">
        <v>2812</v>
      </c>
      <c r="E48" s="193">
        <v>2228.4</v>
      </c>
      <c r="F48" s="193">
        <v>3029</v>
      </c>
      <c r="G48" s="193">
        <v>4288</v>
      </c>
      <c r="H48" s="193">
        <v>4583</v>
      </c>
      <c r="I48" s="193">
        <v>4893</v>
      </c>
      <c r="J48" s="203"/>
      <c r="K48" s="203"/>
      <c r="L48" s="203"/>
      <c r="M48" s="203"/>
      <c r="N48" s="203"/>
      <c r="O48" s="203"/>
    </row>
    <row r="49" spans="1:15" s="189" customFormat="1" ht="18" customHeight="1" hidden="1">
      <c r="A49" s="194"/>
      <c r="B49" s="202"/>
      <c r="C49" s="196" t="s">
        <v>139</v>
      </c>
      <c r="D49" s="322"/>
      <c r="E49" s="322"/>
      <c r="F49" s="322"/>
      <c r="G49" s="322"/>
      <c r="H49" s="322"/>
      <c r="I49" s="322"/>
      <c r="J49" s="323"/>
      <c r="K49" s="323"/>
      <c r="L49" s="323"/>
      <c r="M49" s="323"/>
      <c r="N49" s="323"/>
      <c r="O49" s="323"/>
    </row>
    <row r="50" spans="1:15" ht="18" customHeight="1">
      <c r="A50" s="191"/>
      <c r="B50" s="195"/>
      <c r="C50" s="192" t="s">
        <v>159</v>
      </c>
      <c r="D50" s="193">
        <v>20400</v>
      </c>
      <c r="E50" s="193">
        <v>23070.9</v>
      </c>
      <c r="F50" s="193">
        <v>29230</v>
      </c>
      <c r="G50" s="193">
        <v>35151</v>
      </c>
      <c r="H50" s="193">
        <v>46690</v>
      </c>
      <c r="I50" s="193">
        <v>56969</v>
      </c>
      <c r="J50" s="203" t="e">
        <f>+K50+L50+M50+N50+O50</f>
        <v>#REF!</v>
      </c>
      <c r="K50" s="203">
        <f>+K54-K8-K13-K15-K17-K19-K21-K26-K28-K30-K32-K34-K36-K38-K40-K42-K44-K46-K48</f>
        <v>0</v>
      </c>
      <c r="L50" s="203" t="e">
        <f>+L54-L8-L13-L15-L17-L19-L21-L26-L28-L30-L32-L34-L36-L38-L40-L42-L44-L46-L48</f>
        <v>#REF!</v>
      </c>
      <c r="M50" s="203" t="e">
        <f>+M54-M8-M13-M15-M17-M19-M21-M26-M28-M30-M32-M34-M36-M38-M40-M42-M44-M46-M48</f>
        <v>#REF!</v>
      </c>
      <c r="N50" s="203" t="e">
        <f>+N54-N8-N13-N15-N17-N19-N21-N26-N28-N30-N32-N34-N36-N38-N40-N42-N44-N46-N48</f>
        <v>#REF!</v>
      </c>
      <c r="O50" s="203" t="e">
        <f>+O54-O8-O13-O15-O17-O19-O21-O26-O28-O30-O32-O34-O36-O38-O40-O42-O44-O46-O48</f>
        <v>#REF!</v>
      </c>
    </row>
    <row r="51" spans="1:15" s="189" customFormat="1" ht="18" customHeight="1">
      <c r="A51" s="195"/>
      <c r="B51" s="195"/>
      <c r="C51" s="196" t="s">
        <v>139</v>
      </c>
      <c r="D51" s="322"/>
      <c r="E51" s="322"/>
      <c r="F51" s="322"/>
      <c r="G51" s="322"/>
      <c r="H51" s="322"/>
      <c r="I51" s="322"/>
      <c r="J51" s="323" t="e">
        <f aca="true" t="shared" si="3" ref="J51:O51">100*J50/J$54</f>
        <v>#REF!</v>
      </c>
      <c r="K51" s="323" t="e">
        <f t="shared" si="3"/>
        <v>#DIV/0!</v>
      </c>
      <c r="L51" s="323" t="e">
        <f t="shared" si="3"/>
        <v>#REF!</v>
      </c>
      <c r="M51" s="323" t="e">
        <f t="shared" si="3"/>
        <v>#REF!</v>
      </c>
      <c r="N51" s="323" t="e">
        <f t="shared" si="3"/>
        <v>#REF!</v>
      </c>
      <c r="O51" s="323" t="e">
        <f t="shared" si="3"/>
        <v>#REF!</v>
      </c>
    </row>
    <row r="52" spans="1:15" ht="15" customHeight="1">
      <c r="A52" s="204"/>
      <c r="B52" s="205"/>
      <c r="C52" s="206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8"/>
    </row>
    <row r="53" spans="3:14" ht="15" customHeight="1">
      <c r="C53" s="209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4"/>
    </row>
    <row r="54" spans="1:15" ht="30" customHeight="1">
      <c r="A54" s="182"/>
      <c r="B54" s="1814" t="s">
        <v>94</v>
      </c>
      <c r="C54" s="1815"/>
      <c r="D54" s="311">
        <v>151183</v>
      </c>
      <c r="E54" s="311">
        <v>170496</v>
      </c>
      <c r="F54" s="311">
        <v>200145</v>
      </c>
      <c r="G54" s="311">
        <v>239246</v>
      </c>
      <c r="H54" s="311">
        <v>290927</v>
      </c>
      <c r="I54" s="311">
        <v>343135</v>
      </c>
      <c r="J54" s="309" t="e">
        <f>+K54+L54+M54+N54+O54</f>
        <v>#REF!</v>
      </c>
      <c r="K54" s="309">
        <f>'BM9'!H7*1000</f>
        <v>0</v>
      </c>
      <c r="L54" s="309" t="e">
        <f>'BM9'!#REF!*1000</f>
        <v>#REF!</v>
      </c>
      <c r="M54" s="309" t="e">
        <f>'BM9'!#REF!*1000</f>
        <v>#REF!</v>
      </c>
      <c r="N54" s="309" t="e">
        <f>'BM9'!#REF!*1000</f>
        <v>#REF!</v>
      </c>
      <c r="O54" s="309" t="e">
        <f>'BM9'!#REF!*1000</f>
        <v>#REF!</v>
      </c>
    </row>
  </sheetData>
  <sheetProtection/>
  <mergeCells count="16">
    <mergeCell ref="B11:C11"/>
    <mergeCell ref="B12:C12"/>
    <mergeCell ref="B5:C5"/>
    <mergeCell ref="B54:C54"/>
    <mergeCell ref="B6:C6"/>
    <mergeCell ref="B23:C23"/>
    <mergeCell ref="B24:C24"/>
    <mergeCell ref="B25:C25"/>
    <mergeCell ref="B7:C7"/>
    <mergeCell ref="B8:C8"/>
    <mergeCell ref="B9:C9"/>
    <mergeCell ref="B10:C10"/>
    <mergeCell ref="A1:O1"/>
    <mergeCell ref="A2:O2"/>
    <mergeCell ref="A3:O3"/>
    <mergeCell ref="M4:O4"/>
  </mergeCells>
  <printOptions horizontalCentered="1"/>
  <pageMargins left="0.7086614173228347" right="0.7086614173228347" top="0.5905511811023623" bottom="0.5905511811023623" header="0.31496062992125984" footer="0.31496062992125984"/>
  <pageSetup fitToHeight="0" fitToWidth="1" horizontalDpi="600" verticalDpi="600" orientation="landscape" paperSize="9" scale="95" r:id="rId1"/>
  <headerFooter alignWithMargins="0">
    <oddHeader>&amp;R&amp;P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9"/>
  <sheetViews>
    <sheetView zoomScale="70" zoomScaleNormal="70" zoomScalePageLayoutView="0" workbookViewId="0" topLeftCell="A1">
      <selection activeCell="M18" sqref="M18"/>
    </sheetView>
  </sheetViews>
  <sheetFormatPr defaultColWidth="9.140625" defaultRowHeight="12.75"/>
  <cols>
    <col min="1" max="1" width="4.421875" style="345" customWidth="1"/>
    <col min="2" max="2" width="33.140625" style="338" customWidth="1"/>
    <col min="3" max="3" width="14.421875" style="337" customWidth="1"/>
    <col min="4" max="4" width="13.00390625" style="337" customWidth="1"/>
    <col min="5" max="5" width="13.140625" style="337" customWidth="1"/>
    <col min="6" max="6" width="13.421875" style="338" customWidth="1"/>
    <col min="7" max="7" width="14.421875" style="339" customWidth="1"/>
    <col min="8" max="8" width="15.140625" style="339" customWidth="1"/>
    <col min="9" max="9" width="20.7109375" style="339" customWidth="1"/>
    <col min="10" max="10" width="7.8515625" style="340" customWidth="1"/>
    <col min="11" max="16384" width="9.140625" style="336" customWidth="1"/>
  </cols>
  <sheetData>
    <row r="1" spans="2:9" s="331" customFormat="1" ht="36.75" customHeight="1">
      <c r="B1" s="347"/>
      <c r="C1" s="348"/>
      <c r="D1" s="348"/>
      <c r="G1" s="365" t="s">
        <v>702</v>
      </c>
      <c r="H1" s="1796" t="s">
        <v>704</v>
      </c>
      <c r="I1" s="1796"/>
    </row>
    <row r="2" spans="2:10" s="331" customFormat="1" ht="36.75" customHeight="1">
      <c r="B2" s="1769" t="s">
        <v>476</v>
      </c>
      <c r="C2" s="1769"/>
      <c r="D2" s="1769"/>
      <c r="E2" s="1769"/>
      <c r="F2" s="1769"/>
      <c r="G2" s="1769"/>
      <c r="H2" s="1769"/>
      <c r="I2" s="1769"/>
      <c r="J2" s="555"/>
    </row>
    <row r="3" spans="1:10" s="335" customFormat="1" ht="30.75" customHeight="1">
      <c r="A3" s="1822" t="s">
        <v>328</v>
      </c>
      <c r="B3" s="1822"/>
      <c r="C3" s="1822"/>
      <c r="D3" s="1822"/>
      <c r="E3" s="1822"/>
      <c r="F3" s="1822"/>
      <c r="G3" s="1822"/>
      <c r="H3" s="1822"/>
      <c r="I3" s="1822"/>
      <c r="J3" s="445"/>
    </row>
    <row r="4" spans="1:10" ht="36.75" customHeight="1">
      <c r="A4" s="1823" t="s">
        <v>719</v>
      </c>
      <c r="B4" s="1824"/>
      <c r="C4" s="1824"/>
      <c r="D4" s="1824"/>
      <c r="E4" s="1824"/>
      <c r="F4" s="1824"/>
      <c r="G4" s="1824"/>
      <c r="H4" s="1824"/>
      <c r="I4" s="1824"/>
      <c r="J4" s="446"/>
    </row>
    <row r="5" spans="1:10" ht="26.25" customHeight="1">
      <c r="A5" s="447"/>
      <c r="B5" s="448"/>
      <c r="C5" s="449"/>
      <c r="D5" s="449"/>
      <c r="E5" s="449"/>
      <c r="F5" s="450"/>
      <c r="G5" s="451"/>
      <c r="H5" s="451"/>
      <c r="I5" s="452" t="s">
        <v>292</v>
      </c>
      <c r="J5" s="453"/>
    </row>
    <row r="6" spans="1:10" s="341" customFormat="1" ht="49.5">
      <c r="A6" s="454"/>
      <c r="B6" s="455" t="s">
        <v>200</v>
      </c>
      <c r="C6" s="383" t="s">
        <v>694</v>
      </c>
      <c r="D6" s="383" t="s">
        <v>695</v>
      </c>
      <c r="E6" s="383" t="s">
        <v>696</v>
      </c>
      <c r="F6" s="383" t="s">
        <v>697</v>
      </c>
      <c r="G6" s="383" t="s">
        <v>698</v>
      </c>
      <c r="H6" s="383" t="s">
        <v>699</v>
      </c>
      <c r="I6" s="383" t="s">
        <v>700</v>
      </c>
      <c r="J6" s="456"/>
    </row>
    <row r="7" spans="1:10" s="342" customFormat="1" ht="62.25" customHeight="1" hidden="1">
      <c r="A7" s="457"/>
      <c r="B7" s="458" t="s">
        <v>137</v>
      </c>
      <c r="C7" s="459"/>
      <c r="D7" s="459"/>
      <c r="E7" s="459"/>
      <c r="F7" s="460"/>
      <c r="G7" s="460"/>
      <c r="H7" s="460"/>
      <c r="I7" s="460"/>
      <c r="J7" s="461"/>
    </row>
    <row r="8" spans="1:10" s="343" customFormat="1" ht="62.25" customHeight="1" hidden="1">
      <c r="A8" s="462" t="s">
        <v>3</v>
      </c>
      <c r="B8" s="463" t="s">
        <v>196</v>
      </c>
      <c r="C8" s="464"/>
      <c r="D8" s="465"/>
      <c r="E8" s="464"/>
      <c r="F8" s="466"/>
      <c r="G8" s="466"/>
      <c r="H8" s="466"/>
      <c r="I8" s="466"/>
      <c r="J8" s="467"/>
    </row>
    <row r="9" spans="1:10" ht="66" hidden="1">
      <c r="A9" s="468"/>
      <c r="B9" s="469" t="s">
        <v>195</v>
      </c>
      <c r="C9" s="470"/>
      <c r="D9" s="471"/>
      <c r="E9" s="470"/>
      <c r="F9" s="472">
        <f>+'[4]cc2006'!C7+'[4]cc2006'!C8</f>
        <v>120</v>
      </c>
      <c r="G9" s="472">
        <f>+'[4]cc2007'!C8</f>
        <v>220</v>
      </c>
      <c r="H9" s="472">
        <f>+'[4]cc2008'!C8</f>
        <v>200</v>
      </c>
      <c r="I9" s="472"/>
      <c r="J9" s="473"/>
    </row>
    <row r="10" spans="1:10" ht="66" hidden="1">
      <c r="A10" s="468"/>
      <c r="B10" s="469" t="s">
        <v>194</v>
      </c>
      <c r="C10" s="470"/>
      <c r="D10" s="471"/>
      <c r="E10" s="470"/>
      <c r="F10" s="472">
        <f>+'[4]cc2006'!C9</f>
        <v>300</v>
      </c>
      <c r="G10" s="472">
        <f>+'[4]cc2007'!C9</f>
        <v>200</v>
      </c>
      <c r="H10" s="472">
        <f>+'[4]cc2008'!C9</f>
        <v>200</v>
      </c>
      <c r="I10" s="472"/>
      <c r="J10" s="473"/>
    </row>
    <row r="11" spans="1:10" ht="33" hidden="1">
      <c r="A11" s="468"/>
      <c r="B11" s="469" t="s">
        <v>193</v>
      </c>
      <c r="C11" s="470"/>
      <c r="D11" s="471"/>
      <c r="E11" s="470"/>
      <c r="F11" s="472">
        <f>+'[4]cc2006'!C10</f>
        <v>2000</v>
      </c>
      <c r="G11" s="472">
        <f>+'[4]cc2007'!C10</f>
        <v>2500</v>
      </c>
      <c r="H11" s="472">
        <f>+'[4]cc2008'!C10</f>
        <v>2300</v>
      </c>
      <c r="I11" s="472"/>
      <c r="J11" s="473"/>
    </row>
    <row r="12" spans="1:10" ht="16.5" hidden="1">
      <c r="A12" s="468"/>
      <c r="B12" s="474" t="s">
        <v>192</v>
      </c>
      <c r="C12" s="470"/>
      <c r="D12" s="470"/>
      <c r="E12" s="470"/>
      <c r="F12" s="472"/>
      <c r="G12" s="472"/>
      <c r="H12" s="472">
        <f>+'[4]cc2008'!C11</f>
        <v>120</v>
      </c>
      <c r="I12" s="472"/>
      <c r="J12" s="473"/>
    </row>
    <row r="13" spans="1:10" ht="33" hidden="1">
      <c r="A13" s="468"/>
      <c r="B13" s="475" t="s">
        <v>191</v>
      </c>
      <c r="C13" s="476"/>
      <c r="D13" s="476"/>
      <c r="E13" s="476"/>
      <c r="F13" s="472"/>
      <c r="G13" s="472"/>
      <c r="H13" s="472"/>
      <c r="I13" s="472"/>
      <c r="J13" s="473"/>
    </row>
    <row r="14" spans="1:10" ht="99" hidden="1">
      <c r="A14" s="468"/>
      <c r="B14" s="475" t="s">
        <v>190</v>
      </c>
      <c r="C14" s="476"/>
      <c r="D14" s="476"/>
      <c r="E14" s="476"/>
      <c r="F14" s="472">
        <f>+'[4]cc2006'!C11</f>
        <v>150</v>
      </c>
      <c r="G14" s="472" t="e">
        <f>+'[4]cc2007'!C11</f>
        <v>#REF!</v>
      </c>
      <c r="H14" s="472"/>
      <c r="I14" s="472"/>
      <c r="J14" s="473"/>
    </row>
    <row r="15" spans="1:10" ht="16.5" hidden="1">
      <c r="A15" s="468"/>
      <c r="B15" s="475" t="s">
        <v>189</v>
      </c>
      <c r="C15" s="476"/>
      <c r="D15" s="476"/>
      <c r="E15" s="476"/>
      <c r="F15" s="472"/>
      <c r="G15" s="472">
        <f>+'[4]cc2007'!C13</f>
        <v>100</v>
      </c>
      <c r="H15" s="472"/>
      <c r="I15" s="472"/>
      <c r="J15" s="473"/>
    </row>
    <row r="16" spans="1:10" ht="16.5" hidden="1">
      <c r="A16" s="477"/>
      <c r="B16" s="478" t="s">
        <v>188</v>
      </c>
      <c r="C16" s="479"/>
      <c r="D16" s="479"/>
      <c r="E16" s="479"/>
      <c r="F16" s="480"/>
      <c r="G16" s="480">
        <f>+'[4]cc2007'!C12</f>
        <v>1000</v>
      </c>
      <c r="H16" s="480">
        <f>+'[4]cc2008'!C12</f>
        <v>600</v>
      </c>
      <c r="I16" s="480"/>
      <c r="J16" s="473"/>
    </row>
    <row r="17" spans="1:10" s="343" customFormat="1" ht="24.75" customHeight="1">
      <c r="A17" s="481"/>
      <c r="B17" s="482" t="s">
        <v>137</v>
      </c>
      <c r="C17" s="483"/>
      <c r="D17" s="484"/>
      <c r="E17" s="485"/>
      <c r="F17" s="486"/>
      <c r="G17" s="486"/>
      <c r="H17" s="487"/>
      <c r="I17" s="485"/>
      <c r="J17" s="461"/>
    </row>
    <row r="18" spans="1:10" s="342" customFormat="1" ht="36" customHeight="1">
      <c r="A18" s="481" t="s">
        <v>29</v>
      </c>
      <c r="B18" s="482" t="s">
        <v>187</v>
      </c>
      <c r="C18" s="483"/>
      <c r="D18" s="484"/>
      <c r="E18" s="485"/>
      <c r="F18" s="488"/>
      <c r="G18" s="488"/>
      <c r="H18" s="483"/>
      <c r="I18" s="485"/>
      <c r="J18" s="467"/>
    </row>
    <row r="19" spans="1:10" s="344" customFormat="1" ht="24.75" customHeight="1">
      <c r="A19" s="489"/>
      <c r="B19" s="490" t="s">
        <v>139</v>
      </c>
      <c r="C19" s="491"/>
      <c r="D19" s="492"/>
      <c r="E19" s="493"/>
      <c r="F19" s="494"/>
      <c r="G19" s="494"/>
      <c r="H19" s="491"/>
      <c r="I19" s="493"/>
      <c r="J19" s="495"/>
    </row>
    <row r="20" spans="1:10" ht="31.5" customHeight="1">
      <c r="A20" s="496">
        <v>1</v>
      </c>
      <c r="B20" s="497" t="s">
        <v>186</v>
      </c>
      <c r="C20" s="498"/>
      <c r="D20" s="499"/>
      <c r="E20" s="500"/>
      <c r="F20" s="501"/>
      <c r="G20" s="501"/>
      <c r="H20" s="498"/>
      <c r="I20" s="500"/>
      <c r="J20" s="473"/>
    </row>
    <row r="21" spans="1:10" s="344" customFormat="1" ht="33" customHeight="1">
      <c r="A21" s="489"/>
      <c r="B21" s="490" t="s">
        <v>139</v>
      </c>
      <c r="C21" s="502"/>
      <c r="D21" s="492"/>
      <c r="E21" s="500"/>
      <c r="F21" s="494"/>
      <c r="G21" s="494"/>
      <c r="H21" s="502"/>
      <c r="I21" s="503"/>
      <c r="J21" s="495"/>
    </row>
    <row r="22" spans="1:10" ht="32.25" customHeight="1">
      <c r="A22" s="496">
        <f>+A20+1</f>
        <v>2</v>
      </c>
      <c r="B22" s="497" t="s">
        <v>185</v>
      </c>
      <c r="C22" s="498"/>
      <c r="D22" s="504"/>
      <c r="E22" s="500"/>
      <c r="F22" s="501"/>
      <c r="G22" s="501"/>
      <c r="H22" s="498"/>
      <c r="I22" s="500"/>
      <c r="J22" s="473"/>
    </row>
    <row r="23" spans="1:10" s="344" customFormat="1" ht="28.5" customHeight="1">
      <c r="A23" s="489"/>
      <c r="B23" s="490" t="s">
        <v>139</v>
      </c>
      <c r="C23" s="502"/>
      <c r="D23" s="492"/>
      <c r="E23" s="500"/>
      <c r="F23" s="494"/>
      <c r="G23" s="494"/>
      <c r="H23" s="502"/>
      <c r="I23" s="500"/>
      <c r="J23" s="495"/>
    </row>
    <row r="24" spans="1:10" ht="29.25" customHeight="1">
      <c r="A24" s="496">
        <f>+A22+1</f>
        <v>3</v>
      </c>
      <c r="B24" s="497" t="s">
        <v>184</v>
      </c>
      <c r="C24" s="498"/>
      <c r="D24" s="504"/>
      <c r="E24" s="500"/>
      <c r="F24" s="501"/>
      <c r="G24" s="501"/>
      <c r="H24" s="498"/>
      <c r="I24" s="500"/>
      <c r="J24" s="473"/>
    </row>
    <row r="25" spans="1:10" s="344" customFormat="1" ht="24.75" customHeight="1">
      <c r="A25" s="489"/>
      <c r="B25" s="505" t="s">
        <v>139</v>
      </c>
      <c r="C25" s="502"/>
      <c r="D25" s="504"/>
      <c r="E25" s="500"/>
      <c r="F25" s="494"/>
      <c r="G25" s="494"/>
      <c r="H25" s="502"/>
      <c r="I25" s="500"/>
      <c r="J25" s="495"/>
    </row>
    <row r="26" spans="1:10" ht="30" customHeight="1">
      <c r="A26" s="496">
        <f>+A24+1</f>
        <v>4</v>
      </c>
      <c r="B26" s="497" t="s">
        <v>150</v>
      </c>
      <c r="C26" s="498"/>
      <c r="D26" s="504"/>
      <c r="E26" s="500"/>
      <c r="F26" s="501"/>
      <c r="G26" s="501"/>
      <c r="H26" s="498"/>
      <c r="I26" s="500"/>
      <c r="J26" s="473"/>
    </row>
    <row r="27" spans="1:10" s="344" customFormat="1" ht="24.75" customHeight="1">
      <c r="A27" s="489"/>
      <c r="B27" s="505" t="s">
        <v>139</v>
      </c>
      <c r="C27" s="502"/>
      <c r="D27" s="504"/>
      <c r="E27" s="500"/>
      <c r="F27" s="494"/>
      <c r="G27" s="494"/>
      <c r="H27" s="502"/>
      <c r="I27" s="500"/>
      <c r="J27" s="495"/>
    </row>
    <row r="28" spans="1:10" ht="27" customHeight="1">
      <c r="A28" s="496">
        <f>+A26+1</f>
        <v>5</v>
      </c>
      <c r="B28" s="497" t="s">
        <v>183</v>
      </c>
      <c r="C28" s="498"/>
      <c r="D28" s="504"/>
      <c r="E28" s="500"/>
      <c r="F28" s="501"/>
      <c r="G28" s="501"/>
      <c r="H28" s="498"/>
      <c r="I28" s="500"/>
      <c r="J28" s="473"/>
    </row>
    <row r="29" spans="1:10" s="344" customFormat="1" ht="30" customHeight="1">
      <c r="A29" s="489"/>
      <c r="B29" s="505" t="s">
        <v>139</v>
      </c>
      <c r="C29" s="502"/>
      <c r="D29" s="484"/>
      <c r="E29" s="506"/>
      <c r="F29" s="494"/>
      <c r="G29" s="494"/>
      <c r="H29" s="502"/>
      <c r="I29" s="507"/>
      <c r="J29" s="495"/>
    </row>
    <row r="30" spans="1:10" s="342" customFormat="1" ht="30.75" customHeight="1">
      <c r="A30" s="481" t="s">
        <v>30</v>
      </c>
      <c r="B30" s="482" t="s">
        <v>182</v>
      </c>
      <c r="C30" s="483"/>
      <c r="D30" s="484"/>
      <c r="E30" s="485"/>
      <c r="F30" s="488"/>
      <c r="G30" s="488"/>
      <c r="H30" s="483"/>
      <c r="I30" s="485"/>
      <c r="J30" s="467"/>
    </row>
    <row r="31" spans="1:10" s="344" customFormat="1" ht="29.25" customHeight="1">
      <c r="A31" s="489"/>
      <c r="B31" s="505" t="s">
        <v>139</v>
      </c>
      <c r="C31" s="491"/>
      <c r="D31" s="494"/>
      <c r="E31" s="493"/>
      <c r="F31" s="494"/>
      <c r="G31" s="494"/>
      <c r="H31" s="491"/>
      <c r="I31" s="493"/>
      <c r="J31" s="495"/>
    </row>
    <row r="32" spans="1:10" ht="34.5" customHeight="1">
      <c r="A32" s="496">
        <f>+A28+1</f>
        <v>6</v>
      </c>
      <c r="B32" s="497" t="s">
        <v>180</v>
      </c>
      <c r="C32" s="498"/>
      <c r="D32" s="504"/>
      <c r="E32" s="500"/>
      <c r="F32" s="501"/>
      <c r="G32" s="501"/>
      <c r="H32" s="498"/>
      <c r="I32" s="500"/>
      <c r="J32" s="473"/>
    </row>
    <row r="33" spans="1:10" s="344" customFormat="1" ht="30" customHeight="1">
      <c r="A33" s="489"/>
      <c r="B33" s="505" t="s">
        <v>139</v>
      </c>
      <c r="C33" s="502"/>
      <c r="D33" s="494"/>
      <c r="E33" s="500"/>
      <c r="F33" s="494"/>
      <c r="G33" s="494"/>
      <c r="H33" s="502"/>
      <c r="I33" s="500"/>
      <c r="J33" s="495"/>
    </row>
    <row r="34" spans="1:10" ht="29.25" customHeight="1">
      <c r="A34" s="496">
        <f>+A32+1</f>
        <v>7</v>
      </c>
      <c r="B34" s="497" t="s">
        <v>208</v>
      </c>
      <c r="C34" s="498"/>
      <c r="D34" s="504"/>
      <c r="E34" s="500"/>
      <c r="F34" s="501"/>
      <c r="G34" s="501"/>
      <c r="H34" s="498"/>
      <c r="I34" s="500"/>
      <c r="J34" s="473"/>
    </row>
    <row r="35" spans="1:10" s="344" customFormat="1" ht="31.5" customHeight="1">
      <c r="A35" s="489"/>
      <c r="B35" s="505" t="s">
        <v>139</v>
      </c>
      <c r="C35" s="502"/>
      <c r="D35" s="484"/>
      <c r="E35" s="500"/>
      <c r="F35" s="494"/>
      <c r="G35" s="494"/>
      <c r="H35" s="502"/>
      <c r="I35" s="500"/>
      <c r="J35" s="495"/>
    </row>
    <row r="36" spans="1:10" ht="29.25" customHeight="1">
      <c r="A36" s="496">
        <f>+A34+1</f>
        <v>8</v>
      </c>
      <c r="B36" s="508" t="s">
        <v>175</v>
      </c>
      <c r="C36" s="498"/>
      <c r="D36" s="499"/>
      <c r="E36" s="500"/>
      <c r="F36" s="501"/>
      <c r="G36" s="501"/>
      <c r="H36" s="498"/>
      <c r="I36" s="500"/>
      <c r="J36" s="473"/>
    </row>
    <row r="37" spans="1:10" s="344" customFormat="1" ht="27.75" customHeight="1">
      <c r="A37" s="489"/>
      <c r="B37" s="505" t="s">
        <v>139</v>
      </c>
      <c r="C37" s="502"/>
      <c r="D37" s="484"/>
      <c r="E37" s="500"/>
      <c r="F37" s="494"/>
      <c r="G37" s="494"/>
      <c r="H37" s="502"/>
      <c r="I37" s="500"/>
      <c r="J37" s="495"/>
    </row>
    <row r="38" spans="1:10" ht="27.75" customHeight="1">
      <c r="A38" s="496">
        <f>+A36+1</f>
        <v>9</v>
      </c>
      <c r="B38" s="497" t="s">
        <v>156</v>
      </c>
      <c r="C38" s="498"/>
      <c r="D38" s="504"/>
      <c r="E38" s="500"/>
      <c r="F38" s="501"/>
      <c r="G38" s="501"/>
      <c r="H38" s="498"/>
      <c r="I38" s="500"/>
      <c r="J38" s="473"/>
    </row>
    <row r="39" spans="1:10" s="344" customFormat="1" ht="24.75" customHeight="1">
      <c r="A39" s="489"/>
      <c r="B39" s="505" t="s">
        <v>139</v>
      </c>
      <c r="C39" s="502"/>
      <c r="D39" s="504"/>
      <c r="E39" s="500"/>
      <c r="F39" s="494"/>
      <c r="G39" s="494"/>
      <c r="H39" s="502"/>
      <c r="I39" s="500"/>
      <c r="J39" s="495"/>
    </row>
    <row r="40" spans="1:10" ht="28.5" customHeight="1">
      <c r="A40" s="496">
        <f>+A38+1</f>
        <v>10</v>
      </c>
      <c r="B40" s="497" t="s">
        <v>173</v>
      </c>
      <c r="C40" s="498"/>
      <c r="D40" s="504"/>
      <c r="E40" s="500"/>
      <c r="F40" s="501"/>
      <c r="G40" s="501"/>
      <c r="H40" s="498"/>
      <c r="I40" s="500"/>
      <c r="J40" s="473"/>
    </row>
    <row r="41" spans="1:10" s="344" customFormat="1" ht="24.75" customHeight="1">
      <c r="A41" s="489"/>
      <c r="B41" s="505" t="s">
        <v>139</v>
      </c>
      <c r="C41" s="502"/>
      <c r="D41" s="504"/>
      <c r="E41" s="500"/>
      <c r="F41" s="494"/>
      <c r="G41" s="494"/>
      <c r="H41" s="502"/>
      <c r="I41" s="500"/>
      <c r="J41" s="495"/>
    </row>
    <row r="42" spans="1:10" ht="30.75" customHeight="1">
      <c r="A42" s="496">
        <f>+A40+1</f>
        <v>11</v>
      </c>
      <c r="B42" s="497" t="s">
        <v>172</v>
      </c>
      <c r="C42" s="498"/>
      <c r="D42" s="504"/>
      <c r="E42" s="500"/>
      <c r="F42" s="501"/>
      <c r="G42" s="501"/>
      <c r="H42" s="498"/>
      <c r="I42" s="500"/>
      <c r="J42" s="473"/>
    </row>
    <row r="43" spans="1:10" s="344" customFormat="1" ht="28.5" customHeight="1">
      <c r="A43" s="489"/>
      <c r="B43" s="505" t="s">
        <v>139</v>
      </c>
      <c r="C43" s="502"/>
      <c r="D43" s="504"/>
      <c r="E43" s="500"/>
      <c r="F43" s="494"/>
      <c r="G43" s="494"/>
      <c r="H43" s="502"/>
      <c r="I43" s="500"/>
      <c r="J43" s="495"/>
    </row>
    <row r="44" spans="1:10" ht="28.5" customHeight="1">
      <c r="A44" s="496">
        <v>12</v>
      </c>
      <c r="B44" s="497" t="s">
        <v>171</v>
      </c>
      <c r="C44" s="498"/>
      <c r="D44" s="504"/>
      <c r="E44" s="500"/>
      <c r="F44" s="501"/>
      <c r="G44" s="501"/>
      <c r="H44" s="498"/>
      <c r="I44" s="500"/>
      <c r="J44" s="473"/>
    </row>
    <row r="45" spans="1:10" s="344" customFormat="1" ht="28.5" customHeight="1">
      <c r="A45" s="489"/>
      <c r="B45" s="505" t="s">
        <v>139</v>
      </c>
      <c r="C45" s="502"/>
      <c r="D45" s="484"/>
      <c r="E45" s="506"/>
      <c r="F45" s="494"/>
      <c r="G45" s="494"/>
      <c r="H45" s="502"/>
      <c r="I45" s="507"/>
      <c r="J45" s="495"/>
    </row>
    <row r="46" spans="1:10" ht="24.75" customHeight="1">
      <c r="A46" s="496">
        <v>13</v>
      </c>
      <c r="B46" s="497" t="s">
        <v>168</v>
      </c>
      <c r="C46" s="498"/>
      <c r="D46" s="484"/>
      <c r="E46" s="500"/>
      <c r="F46" s="501"/>
      <c r="G46" s="501"/>
      <c r="H46" s="498"/>
      <c r="I46" s="500"/>
      <c r="J46" s="473"/>
    </row>
    <row r="47" spans="1:10" s="344" customFormat="1" ht="33.75" customHeight="1">
      <c r="A47" s="489"/>
      <c r="B47" s="505" t="s">
        <v>139</v>
      </c>
      <c r="C47" s="502"/>
      <c r="D47" s="484"/>
      <c r="E47" s="509"/>
      <c r="F47" s="494"/>
      <c r="G47" s="494"/>
      <c r="H47" s="502"/>
      <c r="I47" s="507"/>
      <c r="J47" s="495"/>
    </row>
    <row r="48" spans="1:10" ht="30.75" customHeight="1">
      <c r="A48" s="496">
        <f>+A46+1</f>
        <v>14</v>
      </c>
      <c r="B48" s="497" t="s">
        <v>166</v>
      </c>
      <c r="C48" s="498"/>
      <c r="D48" s="484"/>
      <c r="E48" s="500"/>
      <c r="F48" s="501"/>
      <c r="G48" s="501"/>
      <c r="H48" s="498"/>
      <c r="I48" s="500"/>
      <c r="J48" s="473"/>
    </row>
    <row r="49" spans="1:10" s="344" customFormat="1" ht="34.5" customHeight="1">
      <c r="A49" s="489"/>
      <c r="B49" s="505" t="s">
        <v>139</v>
      </c>
      <c r="C49" s="502"/>
      <c r="D49" s="484"/>
      <c r="E49" s="506"/>
      <c r="F49" s="494"/>
      <c r="G49" s="494"/>
      <c r="H49" s="502"/>
      <c r="I49" s="507"/>
      <c r="J49" s="495"/>
    </row>
    <row r="50" spans="1:10" s="342" customFormat="1" ht="32.25" customHeight="1">
      <c r="A50" s="481" t="s">
        <v>41</v>
      </c>
      <c r="B50" s="482" t="s">
        <v>165</v>
      </c>
      <c r="C50" s="483"/>
      <c r="D50" s="484"/>
      <c r="E50" s="485"/>
      <c r="F50" s="486"/>
      <c r="G50" s="486"/>
      <c r="H50" s="487"/>
      <c r="I50" s="485"/>
      <c r="J50" s="467"/>
    </row>
    <row r="51" spans="1:10" s="344" customFormat="1" ht="34.5" customHeight="1">
      <c r="A51" s="489"/>
      <c r="B51" s="505" t="s">
        <v>139</v>
      </c>
      <c r="C51" s="502"/>
      <c r="D51" s="502"/>
      <c r="E51" s="502"/>
      <c r="F51" s="494"/>
      <c r="G51" s="494"/>
      <c r="H51" s="502"/>
      <c r="I51" s="502"/>
      <c r="J51" s="495"/>
    </row>
    <row r="52" spans="1:10" s="342" customFormat="1" ht="30" customHeight="1">
      <c r="A52" s="481" t="s">
        <v>42</v>
      </c>
      <c r="B52" s="482" t="s">
        <v>164</v>
      </c>
      <c r="C52" s="483"/>
      <c r="D52" s="484"/>
      <c r="E52" s="485"/>
      <c r="F52" s="486"/>
      <c r="G52" s="486"/>
      <c r="H52" s="487"/>
      <c r="I52" s="485"/>
      <c r="J52" s="467"/>
    </row>
    <row r="53" spans="1:10" s="344" customFormat="1" ht="30" customHeight="1">
      <c r="A53" s="489"/>
      <c r="B53" s="505" t="s">
        <v>139</v>
      </c>
      <c r="C53" s="502"/>
      <c r="D53" s="502"/>
      <c r="E53" s="502"/>
      <c r="F53" s="494"/>
      <c r="G53" s="494"/>
      <c r="H53" s="502"/>
      <c r="I53" s="502"/>
      <c r="J53" s="495"/>
    </row>
    <row r="54" spans="1:10" s="342" customFormat="1" ht="62.25" customHeight="1" hidden="1">
      <c r="A54" s="481" t="s">
        <v>42</v>
      </c>
      <c r="B54" s="482" t="s">
        <v>163</v>
      </c>
      <c r="C54" s="506"/>
      <c r="D54" s="506"/>
      <c r="E54" s="506"/>
      <c r="F54" s="507"/>
      <c r="G54" s="507"/>
      <c r="H54" s="507"/>
      <c r="I54" s="507"/>
      <c r="J54" s="467"/>
    </row>
    <row r="55" spans="1:10" ht="62.25" customHeight="1" hidden="1">
      <c r="A55" s="496"/>
      <c r="B55" s="497"/>
      <c r="C55" s="509"/>
      <c r="D55" s="509"/>
      <c r="E55" s="509"/>
      <c r="F55" s="510"/>
      <c r="G55" s="511"/>
      <c r="H55" s="511"/>
      <c r="I55" s="507"/>
      <c r="J55" s="473"/>
    </row>
    <row r="56" spans="1:10" s="342" customFormat="1" ht="62.25" customHeight="1" hidden="1">
      <c r="A56" s="481"/>
      <c r="B56" s="482" t="s">
        <v>162</v>
      </c>
      <c r="C56" s="506"/>
      <c r="D56" s="506"/>
      <c r="E56" s="506"/>
      <c r="F56" s="482"/>
      <c r="G56" s="507"/>
      <c r="H56" s="507"/>
      <c r="I56" s="507"/>
      <c r="J56" s="467"/>
    </row>
    <row r="57" spans="1:10" s="342" customFormat="1" ht="62.25" customHeight="1" hidden="1">
      <c r="A57" s="481" t="s">
        <v>161</v>
      </c>
      <c r="B57" s="482" t="s">
        <v>160</v>
      </c>
      <c r="C57" s="506"/>
      <c r="D57" s="506"/>
      <c r="E57" s="506"/>
      <c r="F57" s="482"/>
      <c r="G57" s="507"/>
      <c r="H57" s="507"/>
      <c r="I57" s="507"/>
      <c r="J57" s="467"/>
    </row>
    <row r="58" spans="1:10" ht="20.25" customHeight="1">
      <c r="A58" s="512"/>
      <c r="B58" s="450"/>
      <c r="C58" s="449"/>
      <c r="D58" s="449"/>
      <c r="E58" s="449"/>
      <c r="F58" s="450"/>
      <c r="G58" s="451"/>
      <c r="H58" s="451"/>
      <c r="I58" s="451"/>
      <c r="J58" s="453"/>
    </row>
    <row r="59" spans="1:10" ht="16.5">
      <c r="A59" s="513"/>
      <c r="B59" s="1770"/>
      <c r="C59" s="1770"/>
      <c r="D59" s="1770"/>
      <c r="E59" s="449"/>
      <c r="F59" s="450"/>
      <c r="G59" s="451"/>
      <c r="H59" s="451"/>
      <c r="I59" s="451"/>
      <c r="J59" s="453"/>
    </row>
    <row r="60" spans="1:10" ht="16.5">
      <c r="A60" s="514"/>
      <c r="B60" s="515"/>
      <c r="C60" s="516"/>
      <c r="D60" s="516"/>
      <c r="E60" s="516"/>
      <c r="F60" s="515"/>
      <c r="G60" s="515"/>
      <c r="H60" s="517"/>
      <c r="I60" s="517"/>
      <c r="J60" s="518"/>
    </row>
    <row r="61" spans="1:10" ht="16.5">
      <c r="A61" s="512"/>
      <c r="B61" s="450"/>
      <c r="C61" s="449"/>
      <c r="D61" s="449"/>
      <c r="E61" s="449"/>
      <c r="F61" s="450"/>
      <c r="G61" s="451"/>
      <c r="H61" s="451"/>
      <c r="I61" s="451"/>
      <c r="J61" s="453"/>
    </row>
    <row r="62" spans="1:10" ht="16.5">
      <c r="A62" s="512"/>
      <c r="B62" s="450"/>
      <c r="C62" s="449"/>
      <c r="D62" s="449"/>
      <c r="E62" s="449"/>
      <c r="F62" s="450"/>
      <c r="G62" s="451"/>
      <c r="H62" s="451"/>
      <c r="I62" s="451"/>
      <c r="J62" s="453"/>
    </row>
    <row r="63" spans="1:10" ht="16.5">
      <c r="A63" s="512"/>
      <c r="B63" s="450"/>
      <c r="C63" s="449"/>
      <c r="D63" s="449"/>
      <c r="E63" s="449"/>
      <c r="F63" s="450"/>
      <c r="G63" s="451"/>
      <c r="H63" s="451"/>
      <c r="I63" s="451"/>
      <c r="J63" s="453"/>
    </row>
    <row r="64" spans="1:10" ht="16.5">
      <c r="A64" s="512"/>
      <c r="B64" s="450"/>
      <c r="C64" s="449"/>
      <c r="D64" s="449"/>
      <c r="E64" s="449"/>
      <c r="F64" s="450"/>
      <c r="G64" s="451"/>
      <c r="H64" s="451"/>
      <c r="I64" s="451"/>
      <c r="J64" s="453"/>
    </row>
    <row r="65" spans="1:10" ht="16.5">
      <c r="A65" s="512"/>
      <c r="B65" s="450"/>
      <c r="C65" s="449"/>
      <c r="D65" s="449"/>
      <c r="E65" s="449"/>
      <c r="F65" s="450"/>
      <c r="G65" s="451"/>
      <c r="H65" s="451"/>
      <c r="I65" s="451"/>
      <c r="J65" s="453"/>
    </row>
    <row r="66" spans="1:10" ht="16.5">
      <c r="A66" s="512"/>
      <c r="B66" s="450"/>
      <c r="C66" s="449"/>
      <c r="D66" s="449"/>
      <c r="E66" s="449"/>
      <c r="F66" s="450"/>
      <c r="G66" s="451"/>
      <c r="H66" s="451"/>
      <c r="I66" s="451"/>
      <c r="J66" s="453"/>
    </row>
    <row r="67" spans="1:10" ht="16.5">
      <c r="A67" s="512"/>
      <c r="B67" s="450"/>
      <c r="C67" s="449"/>
      <c r="D67" s="449"/>
      <c r="E67" s="449"/>
      <c r="F67" s="450"/>
      <c r="G67" s="451"/>
      <c r="H67" s="451"/>
      <c r="I67" s="451"/>
      <c r="J67" s="453"/>
    </row>
    <row r="68" spans="1:10" ht="16.5">
      <c r="A68" s="512"/>
      <c r="B68" s="450"/>
      <c r="C68" s="449"/>
      <c r="D68" s="449"/>
      <c r="E68" s="449"/>
      <c r="F68" s="450"/>
      <c r="G68" s="451"/>
      <c r="H68" s="451"/>
      <c r="I68" s="451"/>
      <c r="J68" s="453"/>
    </row>
    <row r="69" spans="1:10" ht="16.5">
      <c r="A69" s="512"/>
      <c r="B69" s="450"/>
      <c r="C69" s="449"/>
      <c r="D69" s="449"/>
      <c r="E69" s="449"/>
      <c r="F69" s="450"/>
      <c r="G69" s="451"/>
      <c r="H69" s="451"/>
      <c r="I69" s="451"/>
      <c r="J69" s="453"/>
    </row>
    <row r="70" spans="1:10" ht="16.5">
      <c r="A70" s="512"/>
      <c r="B70" s="450"/>
      <c r="C70" s="449"/>
      <c r="D70" s="449"/>
      <c r="E70" s="449"/>
      <c r="F70" s="450"/>
      <c r="G70" s="451"/>
      <c r="H70" s="451"/>
      <c r="I70" s="451"/>
      <c r="J70" s="453"/>
    </row>
    <row r="71" spans="1:10" ht="16.5">
      <c r="A71" s="512"/>
      <c r="B71" s="450"/>
      <c r="C71" s="449"/>
      <c r="D71" s="449"/>
      <c r="E71" s="449"/>
      <c r="F71" s="450"/>
      <c r="G71" s="451"/>
      <c r="H71" s="451"/>
      <c r="I71" s="451"/>
      <c r="J71" s="453"/>
    </row>
    <row r="72" spans="1:10" ht="16.5">
      <c r="A72" s="512"/>
      <c r="B72" s="450"/>
      <c r="C72" s="449"/>
      <c r="D72" s="449"/>
      <c r="E72" s="449"/>
      <c r="F72" s="450"/>
      <c r="G72" s="451"/>
      <c r="H72" s="451"/>
      <c r="I72" s="451"/>
      <c r="J72" s="453"/>
    </row>
    <row r="73" spans="1:10" ht="16.5">
      <c r="A73" s="512"/>
      <c r="B73" s="450"/>
      <c r="C73" s="449"/>
      <c r="D73" s="449"/>
      <c r="E73" s="449"/>
      <c r="F73" s="450"/>
      <c r="G73" s="451"/>
      <c r="H73" s="451"/>
      <c r="I73" s="451"/>
      <c r="J73" s="453"/>
    </row>
    <row r="74" spans="1:10" ht="16.5">
      <c r="A74" s="512"/>
      <c r="B74" s="450"/>
      <c r="C74" s="449"/>
      <c r="D74" s="449"/>
      <c r="E74" s="449"/>
      <c r="F74" s="450"/>
      <c r="G74" s="451"/>
      <c r="H74" s="451"/>
      <c r="I74" s="451"/>
      <c r="J74" s="453"/>
    </row>
    <row r="75" spans="1:10" ht="16.5">
      <c r="A75" s="512"/>
      <c r="B75" s="450"/>
      <c r="C75" s="449"/>
      <c r="D75" s="449"/>
      <c r="E75" s="449"/>
      <c r="F75" s="450"/>
      <c r="G75" s="451"/>
      <c r="H75" s="451"/>
      <c r="I75" s="451"/>
      <c r="J75" s="453"/>
    </row>
    <row r="76" spans="1:10" ht="16.5">
      <c r="A76" s="512"/>
      <c r="B76" s="450"/>
      <c r="C76" s="449"/>
      <c r="D76" s="449"/>
      <c r="E76" s="449"/>
      <c r="F76" s="450"/>
      <c r="G76" s="451"/>
      <c r="H76" s="451"/>
      <c r="I76" s="451"/>
      <c r="J76" s="453"/>
    </row>
    <row r="77" spans="1:10" ht="16.5">
      <c r="A77" s="512"/>
      <c r="B77" s="450"/>
      <c r="C77" s="449"/>
      <c r="D77" s="449"/>
      <c r="E77" s="449"/>
      <c r="F77" s="450"/>
      <c r="G77" s="451"/>
      <c r="H77" s="451"/>
      <c r="I77" s="451"/>
      <c r="J77" s="453"/>
    </row>
    <row r="78" spans="1:10" ht="16.5">
      <c r="A78" s="512"/>
      <c r="B78" s="450"/>
      <c r="C78" s="449"/>
      <c r="D78" s="449"/>
      <c r="E78" s="449"/>
      <c r="F78" s="450"/>
      <c r="G78" s="451"/>
      <c r="H78" s="451"/>
      <c r="I78" s="451"/>
      <c r="J78" s="453"/>
    </row>
    <row r="79" spans="1:10" ht="16.5">
      <c r="A79" s="512"/>
      <c r="B79" s="450"/>
      <c r="C79" s="449"/>
      <c r="D79" s="449"/>
      <c r="E79" s="449"/>
      <c r="F79" s="450"/>
      <c r="G79" s="451"/>
      <c r="H79" s="451"/>
      <c r="I79" s="451"/>
      <c r="J79" s="453"/>
    </row>
    <row r="80" spans="1:10" ht="16.5">
      <c r="A80" s="512"/>
      <c r="B80" s="450"/>
      <c r="C80" s="449"/>
      <c r="D80" s="449"/>
      <c r="E80" s="449"/>
      <c r="F80" s="450"/>
      <c r="G80" s="451"/>
      <c r="H80" s="451"/>
      <c r="I80" s="451"/>
      <c r="J80" s="453"/>
    </row>
    <row r="81" spans="1:10" ht="16.5">
      <c r="A81" s="512"/>
      <c r="B81" s="450"/>
      <c r="C81" s="449"/>
      <c r="D81" s="449"/>
      <c r="E81" s="449"/>
      <c r="F81" s="450"/>
      <c r="G81" s="451"/>
      <c r="H81" s="451"/>
      <c r="I81" s="451"/>
      <c r="J81" s="453"/>
    </row>
    <row r="82" spans="1:10" ht="16.5">
      <c r="A82" s="512"/>
      <c r="B82" s="450"/>
      <c r="C82" s="449"/>
      <c r="D82" s="449"/>
      <c r="E82" s="449"/>
      <c r="F82" s="450"/>
      <c r="G82" s="451"/>
      <c r="H82" s="451"/>
      <c r="I82" s="451"/>
      <c r="J82" s="453"/>
    </row>
    <row r="83" spans="1:10" ht="16.5">
      <c r="A83" s="512"/>
      <c r="B83" s="450"/>
      <c r="C83" s="449"/>
      <c r="D83" s="449"/>
      <c r="E83" s="449"/>
      <c r="F83" s="450"/>
      <c r="G83" s="451"/>
      <c r="H83" s="451"/>
      <c r="I83" s="451"/>
      <c r="J83" s="453"/>
    </row>
    <row r="84" spans="1:10" ht="16.5">
      <c r="A84" s="512"/>
      <c r="B84" s="450"/>
      <c r="C84" s="449"/>
      <c r="D84" s="449"/>
      <c r="E84" s="449"/>
      <c r="F84" s="450"/>
      <c r="G84" s="451"/>
      <c r="H84" s="451"/>
      <c r="I84" s="451"/>
      <c r="J84" s="453"/>
    </row>
    <row r="85" spans="1:10" ht="16.5">
      <c r="A85" s="512"/>
      <c r="B85" s="450"/>
      <c r="C85" s="449"/>
      <c r="D85" s="449"/>
      <c r="E85" s="449"/>
      <c r="F85" s="450"/>
      <c r="G85" s="451"/>
      <c r="H85" s="451"/>
      <c r="I85" s="451"/>
      <c r="J85" s="453"/>
    </row>
    <row r="86" spans="1:10" ht="16.5">
      <c r="A86" s="512"/>
      <c r="B86" s="450"/>
      <c r="C86" s="449"/>
      <c r="D86" s="449"/>
      <c r="E86" s="449"/>
      <c r="F86" s="450"/>
      <c r="G86" s="451"/>
      <c r="H86" s="451"/>
      <c r="I86" s="451"/>
      <c r="J86" s="453"/>
    </row>
    <row r="87" spans="1:10" ht="16.5">
      <c r="A87" s="512"/>
      <c r="B87" s="450"/>
      <c r="C87" s="449"/>
      <c r="D87" s="449"/>
      <c r="E87" s="449"/>
      <c r="F87" s="450"/>
      <c r="G87" s="451"/>
      <c r="H87" s="451"/>
      <c r="I87" s="451"/>
      <c r="J87" s="453"/>
    </row>
    <row r="88" spans="1:10" ht="16.5">
      <c r="A88" s="512"/>
      <c r="B88" s="450"/>
      <c r="C88" s="449"/>
      <c r="D88" s="449"/>
      <c r="E88" s="449"/>
      <c r="F88" s="450"/>
      <c r="G88" s="451"/>
      <c r="H88" s="451"/>
      <c r="I88" s="451"/>
      <c r="J88" s="453"/>
    </row>
    <row r="89" spans="1:10" ht="16.5">
      <c r="A89" s="512"/>
      <c r="B89" s="450"/>
      <c r="C89" s="449"/>
      <c r="D89" s="449"/>
      <c r="E89" s="449"/>
      <c r="F89" s="450"/>
      <c r="G89" s="451"/>
      <c r="H89" s="451"/>
      <c r="I89" s="451"/>
      <c r="J89" s="453"/>
    </row>
    <row r="90" spans="1:10" ht="16.5">
      <c r="A90" s="512"/>
      <c r="B90" s="450"/>
      <c r="C90" s="449"/>
      <c r="D90" s="449"/>
      <c r="E90" s="449"/>
      <c r="F90" s="450"/>
      <c r="G90" s="451"/>
      <c r="H90" s="451"/>
      <c r="I90" s="451"/>
      <c r="J90" s="453"/>
    </row>
    <row r="91" spans="1:10" ht="16.5">
      <c r="A91" s="512"/>
      <c r="B91" s="450"/>
      <c r="C91" s="449"/>
      <c r="D91" s="449"/>
      <c r="E91" s="449"/>
      <c r="F91" s="450"/>
      <c r="G91" s="451"/>
      <c r="H91" s="451"/>
      <c r="I91" s="451"/>
      <c r="J91" s="453"/>
    </row>
    <row r="92" spans="1:10" ht="16.5">
      <c r="A92" s="512"/>
      <c r="B92" s="450"/>
      <c r="C92" s="449"/>
      <c r="D92" s="449"/>
      <c r="E92" s="449"/>
      <c r="F92" s="450"/>
      <c r="G92" s="451"/>
      <c r="H92" s="451"/>
      <c r="I92" s="451"/>
      <c r="J92" s="453"/>
    </row>
    <row r="93" spans="1:10" ht="16.5">
      <c r="A93" s="512"/>
      <c r="B93" s="450"/>
      <c r="C93" s="449"/>
      <c r="D93" s="449"/>
      <c r="E93" s="449"/>
      <c r="F93" s="450"/>
      <c r="G93" s="451"/>
      <c r="H93" s="451"/>
      <c r="I93" s="451"/>
      <c r="J93" s="453"/>
    </row>
    <row r="94" spans="1:10" ht="16.5">
      <c r="A94" s="512"/>
      <c r="B94" s="450"/>
      <c r="C94" s="449"/>
      <c r="D94" s="449"/>
      <c r="E94" s="449"/>
      <c r="F94" s="450"/>
      <c r="G94" s="451"/>
      <c r="H94" s="451"/>
      <c r="I94" s="451"/>
      <c r="J94" s="453"/>
    </row>
    <row r="95" spans="1:10" ht="16.5">
      <c r="A95" s="512"/>
      <c r="B95" s="450"/>
      <c r="C95" s="449"/>
      <c r="D95" s="449"/>
      <c r="E95" s="449"/>
      <c r="F95" s="450"/>
      <c r="G95" s="451"/>
      <c r="H95" s="451"/>
      <c r="I95" s="451"/>
      <c r="J95" s="453"/>
    </row>
    <row r="96" spans="1:10" ht="16.5">
      <c r="A96" s="512"/>
      <c r="B96" s="450"/>
      <c r="C96" s="449"/>
      <c r="D96" s="449"/>
      <c r="E96" s="449"/>
      <c r="F96" s="450"/>
      <c r="G96" s="451"/>
      <c r="H96" s="451"/>
      <c r="I96" s="451"/>
      <c r="J96" s="453"/>
    </row>
    <row r="97" spans="1:10" ht="16.5">
      <c r="A97" s="512"/>
      <c r="B97" s="450"/>
      <c r="C97" s="449"/>
      <c r="D97" s="449"/>
      <c r="E97" s="449"/>
      <c r="F97" s="450"/>
      <c r="G97" s="451"/>
      <c r="H97" s="451"/>
      <c r="I97" s="451"/>
      <c r="J97" s="453"/>
    </row>
    <row r="98" spans="1:10" ht="16.5">
      <c r="A98" s="512"/>
      <c r="B98" s="450"/>
      <c r="C98" s="449"/>
      <c r="D98" s="449"/>
      <c r="E98" s="449"/>
      <c r="F98" s="450"/>
      <c r="G98" s="451"/>
      <c r="H98" s="451"/>
      <c r="I98" s="451"/>
      <c r="J98" s="453"/>
    </row>
    <row r="99" spans="1:10" ht="16.5">
      <c r="A99" s="512"/>
      <c r="B99" s="450"/>
      <c r="C99" s="449"/>
      <c r="D99" s="449"/>
      <c r="E99" s="449"/>
      <c r="F99" s="450"/>
      <c r="G99" s="451"/>
      <c r="H99" s="451"/>
      <c r="I99" s="451"/>
      <c r="J99" s="453"/>
    </row>
    <row r="100" spans="1:10" ht="16.5">
      <c r="A100" s="512"/>
      <c r="B100" s="450"/>
      <c r="C100" s="449"/>
      <c r="D100" s="449"/>
      <c r="E100" s="449"/>
      <c r="F100" s="450"/>
      <c r="G100" s="451"/>
      <c r="H100" s="451"/>
      <c r="I100" s="451"/>
      <c r="J100" s="453"/>
    </row>
    <row r="101" spans="1:10" ht="16.5">
      <c r="A101" s="512"/>
      <c r="B101" s="450"/>
      <c r="C101" s="449"/>
      <c r="D101" s="449"/>
      <c r="E101" s="449"/>
      <c r="F101" s="450"/>
      <c r="G101" s="451"/>
      <c r="H101" s="451"/>
      <c r="I101" s="451"/>
      <c r="J101" s="453"/>
    </row>
    <row r="102" spans="1:10" ht="16.5">
      <c r="A102" s="512"/>
      <c r="B102" s="450"/>
      <c r="C102" s="449"/>
      <c r="D102" s="449"/>
      <c r="E102" s="449"/>
      <c r="F102" s="450"/>
      <c r="G102" s="451"/>
      <c r="H102" s="451"/>
      <c r="I102" s="451"/>
      <c r="J102" s="453"/>
    </row>
    <row r="103" spans="1:10" ht="16.5">
      <c r="A103" s="512"/>
      <c r="B103" s="450"/>
      <c r="C103" s="449"/>
      <c r="D103" s="449"/>
      <c r="E103" s="449"/>
      <c r="F103" s="450"/>
      <c r="G103" s="451"/>
      <c r="H103" s="451"/>
      <c r="I103" s="451"/>
      <c r="J103" s="453"/>
    </row>
    <row r="104" spans="1:10" ht="16.5">
      <c r="A104" s="512"/>
      <c r="B104" s="450"/>
      <c r="C104" s="449"/>
      <c r="D104" s="449"/>
      <c r="E104" s="449"/>
      <c r="F104" s="450"/>
      <c r="G104" s="451"/>
      <c r="H104" s="451"/>
      <c r="I104" s="451"/>
      <c r="J104" s="453"/>
    </row>
    <row r="105" spans="1:10" ht="16.5">
      <c r="A105" s="512"/>
      <c r="B105" s="450"/>
      <c r="C105" s="449"/>
      <c r="D105" s="449"/>
      <c r="E105" s="449"/>
      <c r="F105" s="450"/>
      <c r="G105" s="451"/>
      <c r="H105" s="451"/>
      <c r="I105" s="451"/>
      <c r="J105" s="453"/>
    </row>
    <row r="106" spans="1:10" ht="16.5">
      <c r="A106" s="512"/>
      <c r="B106" s="450"/>
      <c r="C106" s="449"/>
      <c r="D106" s="449"/>
      <c r="E106" s="449"/>
      <c r="F106" s="450"/>
      <c r="G106" s="451"/>
      <c r="H106" s="451"/>
      <c r="I106" s="451"/>
      <c r="J106" s="453"/>
    </row>
    <row r="107" spans="1:10" ht="16.5">
      <c r="A107" s="512"/>
      <c r="B107" s="450"/>
      <c r="C107" s="449"/>
      <c r="D107" s="449"/>
      <c r="E107" s="449"/>
      <c r="F107" s="450"/>
      <c r="G107" s="451"/>
      <c r="H107" s="451"/>
      <c r="I107" s="451"/>
      <c r="J107" s="453"/>
    </row>
    <row r="108" spans="1:10" ht="16.5">
      <c r="A108" s="512"/>
      <c r="B108" s="450"/>
      <c r="C108" s="449"/>
      <c r="D108" s="449"/>
      <c r="E108" s="449"/>
      <c r="F108" s="450"/>
      <c r="G108" s="451"/>
      <c r="H108" s="451"/>
      <c r="I108" s="451"/>
      <c r="J108" s="453"/>
    </row>
    <row r="109" spans="1:10" ht="16.5">
      <c r="A109" s="512"/>
      <c r="B109" s="450"/>
      <c r="C109" s="449"/>
      <c r="D109" s="449"/>
      <c r="E109" s="449"/>
      <c r="F109" s="450"/>
      <c r="G109" s="451"/>
      <c r="H109" s="451"/>
      <c r="I109" s="451"/>
      <c r="J109" s="453"/>
    </row>
    <row r="110" spans="1:10" ht="16.5">
      <c r="A110" s="512"/>
      <c r="B110" s="450"/>
      <c r="C110" s="449"/>
      <c r="D110" s="449"/>
      <c r="E110" s="449"/>
      <c r="F110" s="450"/>
      <c r="G110" s="451"/>
      <c r="H110" s="451"/>
      <c r="I110" s="451"/>
      <c r="J110" s="453"/>
    </row>
    <row r="111" spans="1:10" ht="16.5">
      <c r="A111" s="512"/>
      <c r="B111" s="450"/>
      <c r="C111" s="449"/>
      <c r="D111" s="449"/>
      <c r="E111" s="449"/>
      <c r="F111" s="450"/>
      <c r="G111" s="451"/>
      <c r="H111" s="451"/>
      <c r="I111" s="451"/>
      <c r="J111" s="453"/>
    </row>
    <row r="112" spans="1:10" ht="16.5">
      <c r="A112" s="512"/>
      <c r="B112" s="450"/>
      <c r="C112" s="449"/>
      <c r="D112" s="449"/>
      <c r="E112" s="449"/>
      <c r="F112" s="450"/>
      <c r="G112" s="451"/>
      <c r="H112" s="451"/>
      <c r="I112" s="451"/>
      <c r="J112" s="453"/>
    </row>
    <row r="113" spans="1:10" ht="16.5">
      <c r="A113" s="512"/>
      <c r="B113" s="450"/>
      <c r="C113" s="449"/>
      <c r="D113" s="449"/>
      <c r="E113" s="449"/>
      <c r="F113" s="450"/>
      <c r="G113" s="451"/>
      <c r="H113" s="451"/>
      <c r="I113" s="451"/>
      <c r="J113" s="453"/>
    </row>
    <row r="114" spans="1:10" ht="16.5">
      <c r="A114" s="512"/>
      <c r="B114" s="450"/>
      <c r="C114" s="449"/>
      <c r="D114" s="449"/>
      <c r="E114" s="449"/>
      <c r="F114" s="450"/>
      <c r="G114" s="451"/>
      <c r="H114" s="451"/>
      <c r="I114" s="451"/>
      <c r="J114" s="453"/>
    </row>
    <row r="115" spans="1:10" ht="16.5">
      <c r="A115" s="512"/>
      <c r="B115" s="450"/>
      <c r="C115" s="449"/>
      <c r="D115" s="449"/>
      <c r="E115" s="449"/>
      <c r="F115" s="450"/>
      <c r="G115" s="451"/>
      <c r="H115" s="451"/>
      <c r="I115" s="451"/>
      <c r="J115" s="453"/>
    </row>
    <row r="116" spans="1:10" ht="16.5">
      <c r="A116" s="512"/>
      <c r="B116" s="450"/>
      <c r="C116" s="449"/>
      <c r="D116" s="449"/>
      <c r="E116" s="449"/>
      <c r="F116" s="450"/>
      <c r="G116" s="451"/>
      <c r="H116" s="451"/>
      <c r="I116" s="451"/>
      <c r="J116" s="453"/>
    </row>
    <row r="117" spans="1:10" ht="16.5">
      <c r="A117" s="512"/>
      <c r="B117" s="450"/>
      <c r="C117" s="449"/>
      <c r="D117" s="449"/>
      <c r="E117" s="449"/>
      <c r="F117" s="450"/>
      <c r="G117" s="451"/>
      <c r="H117" s="451"/>
      <c r="I117" s="451"/>
      <c r="J117" s="453"/>
    </row>
    <row r="118" spans="1:10" ht="16.5">
      <c r="A118" s="512"/>
      <c r="B118" s="450"/>
      <c r="C118" s="449"/>
      <c r="D118" s="449"/>
      <c r="E118" s="449"/>
      <c r="F118" s="450"/>
      <c r="G118" s="451"/>
      <c r="H118" s="451"/>
      <c r="I118" s="451"/>
      <c r="J118" s="453"/>
    </row>
    <row r="119" spans="1:10" ht="16.5">
      <c r="A119" s="512"/>
      <c r="B119" s="450"/>
      <c r="C119" s="449"/>
      <c r="D119" s="449"/>
      <c r="E119" s="449"/>
      <c r="F119" s="450"/>
      <c r="G119" s="451"/>
      <c r="H119" s="451"/>
      <c r="I119" s="451"/>
      <c r="J119" s="453"/>
    </row>
    <row r="120" spans="1:10" ht="16.5">
      <c r="A120" s="512"/>
      <c r="B120" s="450"/>
      <c r="C120" s="449"/>
      <c r="D120" s="449"/>
      <c r="E120" s="449"/>
      <c r="F120" s="450"/>
      <c r="G120" s="451"/>
      <c r="H120" s="451"/>
      <c r="I120" s="451"/>
      <c r="J120" s="453"/>
    </row>
    <row r="121" spans="1:10" ht="16.5">
      <c r="A121" s="512"/>
      <c r="B121" s="450"/>
      <c r="C121" s="449"/>
      <c r="D121" s="449"/>
      <c r="E121" s="449"/>
      <c r="F121" s="450"/>
      <c r="G121" s="451"/>
      <c r="H121" s="451"/>
      <c r="I121" s="451"/>
      <c r="J121" s="453"/>
    </row>
    <row r="122" spans="1:10" ht="16.5">
      <c r="A122" s="512"/>
      <c r="B122" s="450"/>
      <c r="C122" s="449"/>
      <c r="D122" s="449"/>
      <c r="E122" s="449"/>
      <c r="F122" s="450"/>
      <c r="G122" s="451"/>
      <c r="H122" s="451"/>
      <c r="I122" s="451"/>
      <c r="J122" s="453"/>
    </row>
    <row r="123" spans="1:10" ht="16.5">
      <c r="A123" s="512"/>
      <c r="B123" s="450"/>
      <c r="C123" s="449"/>
      <c r="D123" s="449"/>
      <c r="E123" s="449"/>
      <c r="F123" s="450"/>
      <c r="G123" s="451"/>
      <c r="H123" s="451"/>
      <c r="I123" s="451"/>
      <c r="J123" s="453"/>
    </row>
    <row r="124" spans="1:10" ht="16.5">
      <c r="A124" s="512"/>
      <c r="B124" s="450"/>
      <c r="C124" s="449"/>
      <c r="D124" s="449"/>
      <c r="E124" s="449"/>
      <c r="F124" s="450"/>
      <c r="G124" s="451"/>
      <c r="H124" s="451"/>
      <c r="I124" s="451"/>
      <c r="J124" s="453"/>
    </row>
    <row r="125" spans="1:10" ht="16.5">
      <c r="A125" s="512"/>
      <c r="B125" s="450"/>
      <c r="C125" s="449"/>
      <c r="D125" s="449"/>
      <c r="E125" s="449"/>
      <c r="F125" s="450"/>
      <c r="G125" s="451"/>
      <c r="H125" s="451"/>
      <c r="I125" s="451"/>
      <c r="J125" s="453"/>
    </row>
    <row r="126" spans="1:10" ht="16.5">
      <c r="A126" s="512"/>
      <c r="B126" s="450"/>
      <c r="C126" s="449"/>
      <c r="D126" s="449"/>
      <c r="E126" s="449"/>
      <c r="F126" s="450"/>
      <c r="G126" s="451"/>
      <c r="H126" s="451"/>
      <c r="I126" s="451"/>
      <c r="J126" s="453"/>
    </row>
    <row r="127" spans="1:10" ht="16.5">
      <c r="A127" s="512"/>
      <c r="B127" s="450"/>
      <c r="C127" s="449"/>
      <c r="D127" s="449"/>
      <c r="E127" s="449"/>
      <c r="F127" s="450"/>
      <c r="G127" s="451"/>
      <c r="H127" s="451"/>
      <c r="I127" s="451"/>
      <c r="J127" s="453"/>
    </row>
    <row r="128" spans="1:10" ht="16.5">
      <c r="A128" s="512"/>
      <c r="B128" s="450"/>
      <c r="C128" s="449"/>
      <c r="D128" s="449"/>
      <c r="E128" s="449"/>
      <c r="F128" s="450"/>
      <c r="G128" s="451"/>
      <c r="H128" s="451"/>
      <c r="I128" s="451"/>
      <c r="J128" s="453"/>
    </row>
    <row r="129" spans="1:10" ht="16.5">
      <c r="A129" s="512"/>
      <c r="B129" s="450"/>
      <c r="C129" s="449"/>
      <c r="D129" s="449"/>
      <c r="E129" s="449"/>
      <c r="F129" s="450"/>
      <c r="G129" s="451"/>
      <c r="H129" s="451"/>
      <c r="I129" s="451"/>
      <c r="J129" s="453"/>
    </row>
    <row r="130" spans="1:10" ht="16.5">
      <c r="A130" s="512"/>
      <c r="B130" s="450"/>
      <c r="C130" s="449"/>
      <c r="D130" s="449"/>
      <c r="E130" s="449"/>
      <c r="F130" s="450"/>
      <c r="G130" s="451"/>
      <c r="H130" s="451"/>
      <c r="I130" s="451"/>
      <c r="J130" s="453"/>
    </row>
    <row r="131" spans="1:10" ht="16.5">
      <c r="A131" s="512"/>
      <c r="B131" s="450"/>
      <c r="C131" s="449"/>
      <c r="D131" s="449"/>
      <c r="E131" s="449"/>
      <c r="F131" s="450"/>
      <c r="G131" s="451"/>
      <c r="H131" s="451"/>
      <c r="I131" s="451"/>
      <c r="J131" s="453"/>
    </row>
    <row r="132" spans="1:10" ht="16.5">
      <c r="A132" s="512"/>
      <c r="B132" s="450"/>
      <c r="C132" s="449"/>
      <c r="D132" s="449"/>
      <c r="E132" s="449"/>
      <c r="F132" s="450"/>
      <c r="G132" s="451"/>
      <c r="H132" s="451"/>
      <c r="I132" s="451"/>
      <c r="J132" s="453"/>
    </row>
    <row r="133" spans="1:10" ht="16.5">
      <c r="A133" s="512"/>
      <c r="B133" s="450"/>
      <c r="C133" s="449"/>
      <c r="D133" s="449"/>
      <c r="E133" s="449"/>
      <c r="F133" s="450"/>
      <c r="G133" s="451"/>
      <c r="H133" s="451"/>
      <c r="I133" s="451"/>
      <c r="J133" s="453"/>
    </row>
    <row r="134" spans="1:10" ht="16.5">
      <c r="A134" s="512"/>
      <c r="B134" s="450"/>
      <c r="C134" s="449"/>
      <c r="D134" s="449"/>
      <c r="E134" s="449"/>
      <c r="F134" s="450"/>
      <c r="G134" s="451"/>
      <c r="H134" s="451"/>
      <c r="I134" s="451"/>
      <c r="J134" s="453"/>
    </row>
    <row r="135" spans="1:10" ht="16.5">
      <c r="A135" s="512"/>
      <c r="B135" s="450"/>
      <c r="C135" s="449"/>
      <c r="D135" s="449"/>
      <c r="E135" s="449"/>
      <c r="F135" s="450"/>
      <c r="G135" s="451"/>
      <c r="H135" s="451"/>
      <c r="I135" s="451"/>
      <c r="J135" s="453"/>
    </row>
    <row r="136" spans="1:10" ht="16.5">
      <c r="A136" s="512"/>
      <c r="B136" s="450"/>
      <c r="C136" s="449"/>
      <c r="D136" s="449"/>
      <c r="E136" s="449"/>
      <c r="F136" s="450"/>
      <c r="G136" s="451"/>
      <c r="H136" s="451"/>
      <c r="I136" s="451"/>
      <c r="J136" s="453"/>
    </row>
    <row r="137" spans="1:10" ht="16.5">
      <c r="A137" s="512"/>
      <c r="B137" s="450"/>
      <c r="C137" s="449"/>
      <c r="D137" s="449"/>
      <c r="E137" s="449"/>
      <c r="F137" s="450"/>
      <c r="G137" s="451"/>
      <c r="H137" s="451"/>
      <c r="I137" s="451"/>
      <c r="J137" s="453"/>
    </row>
    <row r="138" spans="1:10" ht="16.5">
      <c r="A138" s="512"/>
      <c r="B138" s="450"/>
      <c r="C138" s="449"/>
      <c r="D138" s="449"/>
      <c r="E138" s="449"/>
      <c r="F138" s="450"/>
      <c r="G138" s="451"/>
      <c r="H138" s="451"/>
      <c r="I138" s="451"/>
      <c r="J138" s="453"/>
    </row>
    <row r="139" spans="1:10" ht="16.5">
      <c r="A139" s="512"/>
      <c r="B139" s="450"/>
      <c r="C139" s="449"/>
      <c r="D139" s="449"/>
      <c r="E139" s="449"/>
      <c r="F139" s="450"/>
      <c r="G139" s="451"/>
      <c r="H139" s="451"/>
      <c r="I139" s="451"/>
      <c r="J139" s="453"/>
    </row>
    <row r="140" spans="1:10" ht="16.5">
      <c r="A140" s="512"/>
      <c r="B140" s="450"/>
      <c r="C140" s="449"/>
      <c r="D140" s="449"/>
      <c r="E140" s="449"/>
      <c r="F140" s="450"/>
      <c r="G140" s="451"/>
      <c r="H140" s="451"/>
      <c r="I140" s="451"/>
      <c r="J140" s="453"/>
    </row>
    <row r="141" spans="1:10" ht="16.5">
      <c r="A141" s="512"/>
      <c r="B141" s="450"/>
      <c r="C141" s="449"/>
      <c r="D141" s="449"/>
      <c r="E141" s="449"/>
      <c r="F141" s="450"/>
      <c r="G141" s="451"/>
      <c r="H141" s="451"/>
      <c r="I141" s="451"/>
      <c r="J141" s="453"/>
    </row>
    <row r="142" spans="1:10" ht="16.5">
      <c r="A142" s="512"/>
      <c r="B142" s="450"/>
      <c r="C142" s="449"/>
      <c r="D142" s="449"/>
      <c r="E142" s="449"/>
      <c r="F142" s="450"/>
      <c r="G142" s="451"/>
      <c r="H142" s="451"/>
      <c r="I142" s="451"/>
      <c r="J142" s="453"/>
    </row>
    <row r="143" spans="1:10" ht="16.5">
      <c r="A143" s="512"/>
      <c r="B143" s="450"/>
      <c r="C143" s="449"/>
      <c r="D143" s="449"/>
      <c r="E143" s="449"/>
      <c r="F143" s="450"/>
      <c r="G143" s="451"/>
      <c r="H143" s="451"/>
      <c r="I143" s="451"/>
      <c r="J143" s="453"/>
    </row>
    <row r="144" spans="1:10" ht="16.5">
      <c r="A144" s="512"/>
      <c r="B144" s="450"/>
      <c r="C144" s="449"/>
      <c r="D144" s="449"/>
      <c r="E144" s="449"/>
      <c r="F144" s="450"/>
      <c r="G144" s="451"/>
      <c r="H144" s="451"/>
      <c r="I144" s="451"/>
      <c r="J144" s="453"/>
    </row>
    <row r="145" spans="1:10" ht="16.5">
      <c r="A145" s="512"/>
      <c r="B145" s="450"/>
      <c r="C145" s="449"/>
      <c r="D145" s="449"/>
      <c r="E145" s="449"/>
      <c r="F145" s="450"/>
      <c r="G145" s="451"/>
      <c r="H145" s="451"/>
      <c r="I145" s="451"/>
      <c r="J145" s="453"/>
    </row>
    <row r="146" spans="1:10" ht="16.5">
      <c r="A146" s="512"/>
      <c r="B146" s="450"/>
      <c r="C146" s="449"/>
      <c r="D146" s="449"/>
      <c r="E146" s="449"/>
      <c r="F146" s="450"/>
      <c r="G146" s="451"/>
      <c r="H146" s="451"/>
      <c r="I146" s="451"/>
      <c r="J146" s="453"/>
    </row>
    <row r="147" spans="1:10" ht="16.5">
      <c r="A147" s="512"/>
      <c r="B147" s="450"/>
      <c r="C147" s="449"/>
      <c r="D147" s="449"/>
      <c r="E147" s="449"/>
      <c r="F147" s="450"/>
      <c r="G147" s="451"/>
      <c r="H147" s="451"/>
      <c r="I147" s="451"/>
      <c r="J147" s="453"/>
    </row>
    <row r="148" spans="1:10" ht="16.5">
      <c r="A148" s="512"/>
      <c r="B148" s="450"/>
      <c r="C148" s="449"/>
      <c r="D148" s="449"/>
      <c r="E148" s="449"/>
      <c r="F148" s="450"/>
      <c r="G148" s="451"/>
      <c r="H148" s="451"/>
      <c r="I148" s="451"/>
      <c r="J148" s="453"/>
    </row>
    <row r="149" spans="1:10" ht="16.5">
      <c r="A149" s="512"/>
      <c r="B149" s="450"/>
      <c r="C149" s="449"/>
      <c r="D149" s="449"/>
      <c r="E149" s="449"/>
      <c r="F149" s="450"/>
      <c r="G149" s="451"/>
      <c r="H149" s="451"/>
      <c r="I149" s="451"/>
      <c r="J149" s="453"/>
    </row>
    <row r="150" spans="1:10" ht="16.5">
      <c r="A150" s="512"/>
      <c r="B150" s="450"/>
      <c r="C150" s="449"/>
      <c r="D150" s="449"/>
      <c r="E150" s="449"/>
      <c r="F150" s="450"/>
      <c r="G150" s="451"/>
      <c r="H150" s="451"/>
      <c r="I150" s="451"/>
      <c r="J150" s="453"/>
    </row>
    <row r="151" spans="1:10" ht="16.5">
      <c r="A151" s="512"/>
      <c r="B151" s="450"/>
      <c r="C151" s="449"/>
      <c r="D151" s="449"/>
      <c r="E151" s="449"/>
      <c r="F151" s="450"/>
      <c r="G151" s="451"/>
      <c r="H151" s="451"/>
      <c r="I151" s="451"/>
      <c r="J151" s="453"/>
    </row>
    <row r="152" spans="1:10" ht="16.5">
      <c r="A152" s="512"/>
      <c r="B152" s="450"/>
      <c r="C152" s="449"/>
      <c r="D152" s="449"/>
      <c r="E152" s="449"/>
      <c r="F152" s="450"/>
      <c r="G152" s="451"/>
      <c r="H152" s="451"/>
      <c r="I152" s="451"/>
      <c r="J152" s="453"/>
    </row>
    <row r="153" spans="1:10" ht="16.5">
      <c r="A153" s="512"/>
      <c r="B153" s="450"/>
      <c r="C153" s="449"/>
      <c r="D153" s="449"/>
      <c r="E153" s="449"/>
      <c r="F153" s="450"/>
      <c r="G153" s="451"/>
      <c r="H153" s="451"/>
      <c r="I153" s="451"/>
      <c r="J153" s="453"/>
    </row>
    <row r="154" spans="1:10" ht="16.5">
      <c r="A154" s="512"/>
      <c r="B154" s="450"/>
      <c r="C154" s="449"/>
      <c r="D154" s="449"/>
      <c r="E154" s="449"/>
      <c r="F154" s="450"/>
      <c r="G154" s="451"/>
      <c r="H154" s="451"/>
      <c r="I154" s="451"/>
      <c r="J154" s="453"/>
    </row>
    <row r="155" spans="1:10" ht="16.5">
      <c r="A155" s="512"/>
      <c r="B155" s="450"/>
      <c r="C155" s="449"/>
      <c r="D155" s="449"/>
      <c r="E155" s="449"/>
      <c r="F155" s="450"/>
      <c r="G155" s="451"/>
      <c r="H155" s="451"/>
      <c r="I155" s="451"/>
      <c r="J155" s="453"/>
    </row>
    <row r="156" spans="1:10" ht="16.5">
      <c r="A156" s="512"/>
      <c r="B156" s="450"/>
      <c r="C156" s="449"/>
      <c r="D156" s="449"/>
      <c r="E156" s="449"/>
      <c r="F156" s="450"/>
      <c r="G156" s="451"/>
      <c r="H156" s="451"/>
      <c r="I156" s="451"/>
      <c r="J156" s="453"/>
    </row>
    <row r="157" spans="1:10" ht="16.5">
      <c r="A157" s="512"/>
      <c r="B157" s="450"/>
      <c r="C157" s="449"/>
      <c r="D157" s="449"/>
      <c r="E157" s="449"/>
      <c r="F157" s="450"/>
      <c r="G157" s="451"/>
      <c r="H157" s="451"/>
      <c r="I157" s="451"/>
      <c r="J157" s="453"/>
    </row>
    <row r="158" spans="1:10" ht="16.5">
      <c r="A158" s="512"/>
      <c r="B158" s="450"/>
      <c r="C158" s="449"/>
      <c r="D158" s="449"/>
      <c r="E158" s="449"/>
      <c r="F158" s="450"/>
      <c r="G158" s="451"/>
      <c r="H158" s="451"/>
      <c r="I158" s="451"/>
      <c r="J158" s="453"/>
    </row>
    <row r="159" spans="1:10" ht="16.5">
      <c r="A159" s="512"/>
      <c r="B159" s="450"/>
      <c r="C159" s="449"/>
      <c r="D159" s="449"/>
      <c r="E159" s="449"/>
      <c r="F159" s="450"/>
      <c r="G159" s="451"/>
      <c r="H159" s="451"/>
      <c r="I159" s="451"/>
      <c r="J159" s="453"/>
    </row>
    <row r="160" spans="1:10" ht="16.5">
      <c r="A160" s="512"/>
      <c r="B160" s="450"/>
      <c r="C160" s="449"/>
      <c r="D160" s="449"/>
      <c r="E160" s="449"/>
      <c r="F160" s="450"/>
      <c r="G160" s="451"/>
      <c r="H160" s="451"/>
      <c r="I160" s="451"/>
      <c r="J160" s="453"/>
    </row>
    <row r="161" spans="1:10" ht="16.5">
      <c r="A161" s="512"/>
      <c r="B161" s="450"/>
      <c r="C161" s="449"/>
      <c r="D161" s="449"/>
      <c r="E161" s="449"/>
      <c r="F161" s="450"/>
      <c r="G161" s="451"/>
      <c r="H161" s="451"/>
      <c r="I161" s="451"/>
      <c r="J161" s="453"/>
    </row>
    <row r="162" spans="1:10" ht="16.5">
      <c r="A162" s="512"/>
      <c r="B162" s="450"/>
      <c r="C162" s="449"/>
      <c r="D162" s="449"/>
      <c r="E162" s="449"/>
      <c r="F162" s="450"/>
      <c r="G162" s="451"/>
      <c r="H162" s="451"/>
      <c r="I162" s="451"/>
      <c r="J162" s="453"/>
    </row>
    <row r="163" spans="1:10" ht="16.5">
      <c r="A163" s="512"/>
      <c r="B163" s="450"/>
      <c r="C163" s="449"/>
      <c r="D163" s="449"/>
      <c r="E163" s="449"/>
      <c r="F163" s="450"/>
      <c r="G163" s="451"/>
      <c r="H163" s="451"/>
      <c r="I163" s="451"/>
      <c r="J163" s="453"/>
    </row>
    <row r="164" spans="1:10" ht="16.5">
      <c r="A164" s="512"/>
      <c r="B164" s="450"/>
      <c r="C164" s="449"/>
      <c r="D164" s="449"/>
      <c r="E164" s="449"/>
      <c r="F164" s="450"/>
      <c r="G164" s="451"/>
      <c r="H164" s="451"/>
      <c r="I164" s="451"/>
      <c r="J164" s="453"/>
    </row>
    <row r="165" spans="1:10" ht="16.5">
      <c r="A165" s="512"/>
      <c r="B165" s="450"/>
      <c r="C165" s="449"/>
      <c r="D165" s="449"/>
      <c r="E165" s="449"/>
      <c r="F165" s="450"/>
      <c r="G165" s="451"/>
      <c r="H165" s="451"/>
      <c r="I165" s="451"/>
      <c r="J165" s="453"/>
    </row>
    <row r="166" spans="1:10" ht="16.5">
      <c r="A166" s="512"/>
      <c r="B166" s="450"/>
      <c r="C166" s="449"/>
      <c r="D166" s="449"/>
      <c r="E166" s="449"/>
      <c r="F166" s="450"/>
      <c r="G166" s="451"/>
      <c r="H166" s="451"/>
      <c r="I166" s="451"/>
      <c r="J166" s="453"/>
    </row>
    <row r="167" spans="1:10" ht="16.5">
      <c r="A167" s="512"/>
      <c r="B167" s="450"/>
      <c r="C167" s="449"/>
      <c r="D167" s="449"/>
      <c r="E167" s="449"/>
      <c r="F167" s="450"/>
      <c r="G167" s="451"/>
      <c r="H167" s="451"/>
      <c r="I167" s="451"/>
      <c r="J167" s="453"/>
    </row>
    <row r="168" spans="1:10" ht="16.5">
      <c r="A168" s="512"/>
      <c r="B168" s="450"/>
      <c r="C168" s="449"/>
      <c r="D168" s="449"/>
      <c r="E168" s="449"/>
      <c r="F168" s="450"/>
      <c r="G168" s="451"/>
      <c r="H168" s="451"/>
      <c r="I168" s="451"/>
      <c r="J168" s="453"/>
    </row>
    <row r="169" spans="1:10" ht="16.5">
      <c r="A169" s="512"/>
      <c r="B169" s="450"/>
      <c r="C169" s="449"/>
      <c r="D169" s="449"/>
      <c r="E169" s="449"/>
      <c r="F169" s="450"/>
      <c r="G169" s="451"/>
      <c r="H169" s="451"/>
      <c r="I169" s="451"/>
      <c r="J169" s="453"/>
    </row>
    <row r="170" spans="1:10" ht="16.5">
      <c r="A170" s="512"/>
      <c r="B170" s="450"/>
      <c r="C170" s="449"/>
      <c r="D170" s="449"/>
      <c r="E170" s="449"/>
      <c r="F170" s="450"/>
      <c r="G170" s="451"/>
      <c r="H170" s="451"/>
      <c r="I170" s="451"/>
      <c r="J170" s="453"/>
    </row>
    <row r="171" spans="1:10" ht="16.5">
      <c r="A171" s="512"/>
      <c r="B171" s="450"/>
      <c r="C171" s="449"/>
      <c r="D171" s="449"/>
      <c r="E171" s="449"/>
      <c r="F171" s="450"/>
      <c r="G171" s="451"/>
      <c r="H171" s="451"/>
      <c r="I171" s="451"/>
      <c r="J171" s="453"/>
    </row>
    <row r="172" spans="1:10" ht="16.5">
      <c r="A172" s="512"/>
      <c r="B172" s="450"/>
      <c r="C172" s="449"/>
      <c r="D172" s="449"/>
      <c r="E172" s="449"/>
      <c r="F172" s="450"/>
      <c r="G172" s="451"/>
      <c r="H172" s="451"/>
      <c r="I172" s="451"/>
      <c r="J172" s="453"/>
    </row>
    <row r="173" spans="1:10" ht="16.5">
      <c r="A173" s="512"/>
      <c r="B173" s="450"/>
      <c r="C173" s="449"/>
      <c r="D173" s="449"/>
      <c r="E173" s="449"/>
      <c r="F173" s="450"/>
      <c r="G173" s="451"/>
      <c r="H173" s="451"/>
      <c r="I173" s="451"/>
      <c r="J173" s="453"/>
    </row>
    <row r="174" spans="1:10" ht="16.5">
      <c r="A174" s="512"/>
      <c r="B174" s="450"/>
      <c r="C174" s="449"/>
      <c r="D174" s="449"/>
      <c r="E174" s="449"/>
      <c r="F174" s="450"/>
      <c r="G174" s="451"/>
      <c r="H174" s="451"/>
      <c r="I174" s="451"/>
      <c r="J174" s="453"/>
    </row>
    <row r="175" spans="1:10" ht="16.5">
      <c r="A175" s="512"/>
      <c r="B175" s="450"/>
      <c r="C175" s="449"/>
      <c r="D175" s="449"/>
      <c r="E175" s="449"/>
      <c r="F175" s="450"/>
      <c r="G175" s="451"/>
      <c r="H175" s="451"/>
      <c r="I175" s="451"/>
      <c r="J175" s="453"/>
    </row>
    <row r="176" spans="1:10" ht="16.5">
      <c r="A176" s="512"/>
      <c r="B176" s="450"/>
      <c r="C176" s="449"/>
      <c r="D176" s="449"/>
      <c r="E176" s="449"/>
      <c r="F176" s="450"/>
      <c r="G176" s="451"/>
      <c r="H176" s="451"/>
      <c r="I176" s="451"/>
      <c r="J176" s="453"/>
    </row>
    <row r="177" spans="1:10" ht="16.5">
      <c r="A177" s="512"/>
      <c r="B177" s="450"/>
      <c r="C177" s="449"/>
      <c r="D177" s="449"/>
      <c r="E177" s="449"/>
      <c r="F177" s="450"/>
      <c r="G177" s="451"/>
      <c r="H177" s="451"/>
      <c r="I177" s="451"/>
      <c r="J177" s="453"/>
    </row>
    <row r="178" spans="1:10" ht="16.5">
      <c r="A178" s="512"/>
      <c r="B178" s="450"/>
      <c r="C178" s="449"/>
      <c r="D178" s="449"/>
      <c r="E178" s="449"/>
      <c r="F178" s="450"/>
      <c r="G178" s="451"/>
      <c r="H178" s="451"/>
      <c r="I178" s="451"/>
      <c r="J178" s="453"/>
    </row>
    <row r="179" spans="1:10" ht="16.5">
      <c r="A179" s="512"/>
      <c r="B179" s="450"/>
      <c r="C179" s="449"/>
      <c r="D179" s="449"/>
      <c r="E179" s="449"/>
      <c r="F179" s="450"/>
      <c r="G179" s="451"/>
      <c r="H179" s="451"/>
      <c r="I179" s="451"/>
      <c r="J179" s="453"/>
    </row>
    <row r="180" spans="1:10" ht="16.5">
      <c r="A180" s="512"/>
      <c r="B180" s="450"/>
      <c r="C180" s="449"/>
      <c r="D180" s="449"/>
      <c r="E180" s="449"/>
      <c r="F180" s="450"/>
      <c r="G180" s="451"/>
      <c r="H180" s="451"/>
      <c r="I180" s="451"/>
      <c r="J180" s="453"/>
    </row>
    <row r="181" spans="1:10" ht="16.5">
      <c r="A181" s="512"/>
      <c r="B181" s="450"/>
      <c r="C181" s="449"/>
      <c r="D181" s="449"/>
      <c r="E181" s="449"/>
      <c r="F181" s="450"/>
      <c r="G181" s="451"/>
      <c r="H181" s="451"/>
      <c r="I181" s="451"/>
      <c r="J181" s="453"/>
    </row>
    <row r="182" spans="1:10" ht="16.5">
      <c r="A182" s="512"/>
      <c r="B182" s="450"/>
      <c r="C182" s="449"/>
      <c r="D182" s="449"/>
      <c r="E182" s="449"/>
      <c r="F182" s="450"/>
      <c r="G182" s="451"/>
      <c r="H182" s="451"/>
      <c r="I182" s="451"/>
      <c r="J182" s="453"/>
    </row>
    <row r="183" spans="1:10" ht="16.5">
      <c r="A183" s="512"/>
      <c r="B183" s="450"/>
      <c r="C183" s="449"/>
      <c r="D183" s="449"/>
      <c r="E183" s="449"/>
      <c r="F183" s="450"/>
      <c r="G183" s="451"/>
      <c r="H183" s="451"/>
      <c r="I183" s="451"/>
      <c r="J183" s="453"/>
    </row>
    <row r="184" spans="1:10" ht="16.5">
      <c r="A184" s="512"/>
      <c r="B184" s="450"/>
      <c r="C184" s="449"/>
      <c r="D184" s="449"/>
      <c r="E184" s="449"/>
      <c r="F184" s="450"/>
      <c r="G184" s="451"/>
      <c r="H184" s="451"/>
      <c r="I184" s="451"/>
      <c r="J184" s="453"/>
    </row>
    <row r="185" spans="1:10" ht="16.5">
      <c r="A185" s="512"/>
      <c r="B185" s="450"/>
      <c r="C185" s="449"/>
      <c r="D185" s="449"/>
      <c r="E185" s="449"/>
      <c r="F185" s="450"/>
      <c r="G185" s="451"/>
      <c r="H185" s="451"/>
      <c r="I185" s="451"/>
      <c r="J185" s="453"/>
    </row>
    <row r="186" spans="1:10" ht="16.5">
      <c r="A186" s="512"/>
      <c r="B186" s="450"/>
      <c r="C186" s="449"/>
      <c r="D186" s="449"/>
      <c r="E186" s="449"/>
      <c r="F186" s="450"/>
      <c r="G186" s="451"/>
      <c r="H186" s="451"/>
      <c r="I186" s="451"/>
      <c r="J186" s="453"/>
    </row>
    <row r="187" spans="1:10" ht="16.5">
      <c r="A187" s="512"/>
      <c r="B187" s="450"/>
      <c r="C187" s="449"/>
      <c r="D187" s="449"/>
      <c r="E187" s="449"/>
      <c r="F187" s="450"/>
      <c r="G187" s="451"/>
      <c r="H187" s="451"/>
      <c r="I187" s="451"/>
      <c r="J187" s="453"/>
    </row>
    <row r="188" spans="1:10" ht="16.5">
      <c r="A188" s="512"/>
      <c r="B188" s="450"/>
      <c r="C188" s="449"/>
      <c r="D188" s="449"/>
      <c r="E188" s="449"/>
      <c r="F188" s="450"/>
      <c r="G188" s="451"/>
      <c r="H188" s="451"/>
      <c r="I188" s="451"/>
      <c r="J188" s="453"/>
    </row>
    <row r="189" spans="1:10" ht="16.5">
      <c r="A189" s="512"/>
      <c r="B189" s="450"/>
      <c r="C189" s="449"/>
      <c r="D189" s="449"/>
      <c r="E189" s="449"/>
      <c r="F189" s="450"/>
      <c r="G189" s="451"/>
      <c r="H189" s="451"/>
      <c r="I189" s="451"/>
      <c r="J189" s="453"/>
    </row>
    <row r="190" spans="1:10" ht="16.5">
      <c r="A190" s="512"/>
      <c r="B190" s="450"/>
      <c r="C190" s="449"/>
      <c r="D190" s="449"/>
      <c r="E190" s="449"/>
      <c r="F190" s="450"/>
      <c r="G190" s="451"/>
      <c r="H190" s="451"/>
      <c r="I190" s="451"/>
      <c r="J190" s="453"/>
    </row>
    <row r="191" spans="1:10" ht="16.5">
      <c r="A191" s="512"/>
      <c r="B191" s="450"/>
      <c r="C191" s="449"/>
      <c r="D191" s="449"/>
      <c r="E191" s="449"/>
      <c r="F191" s="450"/>
      <c r="G191" s="451"/>
      <c r="H191" s="451"/>
      <c r="I191" s="451"/>
      <c r="J191" s="453"/>
    </row>
    <row r="192" spans="1:10" ht="16.5">
      <c r="A192" s="512"/>
      <c r="B192" s="450"/>
      <c r="C192" s="449"/>
      <c r="D192" s="449"/>
      <c r="E192" s="449"/>
      <c r="F192" s="450"/>
      <c r="G192" s="451"/>
      <c r="H192" s="451"/>
      <c r="I192" s="451"/>
      <c r="J192" s="453"/>
    </row>
    <row r="193" spans="1:10" ht="16.5">
      <c r="A193" s="512"/>
      <c r="B193" s="450"/>
      <c r="C193" s="449"/>
      <c r="D193" s="449"/>
      <c r="E193" s="449"/>
      <c r="F193" s="450"/>
      <c r="G193" s="451"/>
      <c r="H193" s="451"/>
      <c r="I193" s="451"/>
      <c r="J193" s="453"/>
    </row>
    <row r="194" spans="1:10" ht="16.5">
      <c r="A194" s="512"/>
      <c r="B194" s="450"/>
      <c r="C194" s="449"/>
      <c r="D194" s="449"/>
      <c r="E194" s="449"/>
      <c r="F194" s="450"/>
      <c r="G194" s="451"/>
      <c r="H194" s="451"/>
      <c r="I194" s="451"/>
      <c r="J194" s="453"/>
    </row>
    <row r="195" spans="1:10" ht="16.5">
      <c r="A195" s="512"/>
      <c r="B195" s="450"/>
      <c r="C195" s="449"/>
      <c r="D195" s="449"/>
      <c r="E195" s="449"/>
      <c r="F195" s="450"/>
      <c r="G195" s="451"/>
      <c r="H195" s="451"/>
      <c r="I195" s="451"/>
      <c r="J195" s="453"/>
    </row>
    <row r="196" spans="1:10" ht="16.5">
      <c r="A196" s="512"/>
      <c r="B196" s="450"/>
      <c r="C196" s="449"/>
      <c r="D196" s="449"/>
      <c r="E196" s="449"/>
      <c r="F196" s="450"/>
      <c r="G196" s="451"/>
      <c r="H196" s="451"/>
      <c r="I196" s="451"/>
      <c r="J196" s="453"/>
    </row>
    <row r="197" spans="1:10" ht="16.5">
      <c r="A197" s="512"/>
      <c r="B197" s="450"/>
      <c r="C197" s="449"/>
      <c r="D197" s="449"/>
      <c r="E197" s="449"/>
      <c r="F197" s="450"/>
      <c r="G197" s="451"/>
      <c r="H197" s="451"/>
      <c r="I197" s="451"/>
      <c r="J197" s="453"/>
    </row>
    <row r="198" spans="1:10" ht="16.5">
      <c r="A198" s="512"/>
      <c r="B198" s="450"/>
      <c r="C198" s="449"/>
      <c r="D198" s="449"/>
      <c r="E198" s="449"/>
      <c r="F198" s="450"/>
      <c r="G198" s="451"/>
      <c r="H198" s="451"/>
      <c r="I198" s="451"/>
      <c r="J198" s="453"/>
    </row>
    <row r="199" spans="1:10" ht="16.5">
      <c r="A199" s="512"/>
      <c r="B199" s="450"/>
      <c r="C199" s="449"/>
      <c r="D199" s="449"/>
      <c r="E199" s="449"/>
      <c r="F199" s="450"/>
      <c r="G199" s="451"/>
      <c r="H199" s="451"/>
      <c r="I199" s="451"/>
      <c r="J199" s="453"/>
    </row>
    <row r="200" spans="1:10" ht="16.5">
      <c r="A200" s="512"/>
      <c r="B200" s="450"/>
      <c r="C200" s="449"/>
      <c r="D200" s="449"/>
      <c r="E200" s="449"/>
      <c r="F200" s="450"/>
      <c r="G200" s="451"/>
      <c r="H200" s="451"/>
      <c r="I200" s="451"/>
      <c r="J200" s="453"/>
    </row>
    <row r="201" spans="1:10" ht="16.5">
      <c r="A201" s="512"/>
      <c r="B201" s="450"/>
      <c r="C201" s="449"/>
      <c r="D201" s="449"/>
      <c r="E201" s="449"/>
      <c r="F201" s="450"/>
      <c r="G201" s="451"/>
      <c r="H201" s="451"/>
      <c r="I201" s="451"/>
      <c r="J201" s="453"/>
    </row>
    <row r="202" spans="1:10" ht="16.5">
      <c r="A202" s="512"/>
      <c r="B202" s="450"/>
      <c r="C202" s="449"/>
      <c r="D202" s="449"/>
      <c r="E202" s="449"/>
      <c r="F202" s="450"/>
      <c r="G202" s="451"/>
      <c r="H202" s="451"/>
      <c r="I202" s="451"/>
      <c r="J202" s="453"/>
    </row>
    <row r="203" spans="1:10" ht="16.5">
      <c r="A203" s="512"/>
      <c r="B203" s="450"/>
      <c r="C203" s="449"/>
      <c r="D203" s="449"/>
      <c r="E203" s="449"/>
      <c r="F203" s="450"/>
      <c r="G203" s="451"/>
      <c r="H203" s="451"/>
      <c r="I203" s="451"/>
      <c r="J203" s="453"/>
    </row>
    <row r="204" spans="1:10" ht="16.5">
      <c r="A204" s="512"/>
      <c r="B204" s="450"/>
      <c r="C204" s="449"/>
      <c r="D204" s="449"/>
      <c r="E204" s="449"/>
      <c r="F204" s="450"/>
      <c r="G204" s="451"/>
      <c r="H204" s="451"/>
      <c r="I204" s="451"/>
      <c r="J204" s="453"/>
    </row>
    <row r="205" spans="1:10" ht="16.5">
      <c r="A205" s="512"/>
      <c r="B205" s="450"/>
      <c r="C205" s="449"/>
      <c r="D205" s="449"/>
      <c r="E205" s="449"/>
      <c r="F205" s="450"/>
      <c r="G205" s="451"/>
      <c r="H205" s="451"/>
      <c r="I205" s="451"/>
      <c r="J205" s="453"/>
    </row>
    <row r="206" spans="1:10" ht="16.5">
      <c r="A206" s="512"/>
      <c r="B206" s="450"/>
      <c r="C206" s="449"/>
      <c r="D206" s="449"/>
      <c r="E206" s="449"/>
      <c r="F206" s="450"/>
      <c r="G206" s="451"/>
      <c r="H206" s="451"/>
      <c r="I206" s="451"/>
      <c r="J206" s="453"/>
    </row>
    <row r="207" spans="1:10" ht="16.5">
      <c r="A207" s="512"/>
      <c r="B207" s="450"/>
      <c r="C207" s="449"/>
      <c r="D207" s="449"/>
      <c r="E207" s="449"/>
      <c r="F207" s="450"/>
      <c r="G207" s="451"/>
      <c r="H207" s="451"/>
      <c r="I207" s="451"/>
      <c r="J207" s="453"/>
    </row>
    <row r="208" spans="1:10" ht="16.5">
      <c r="A208" s="512"/>
      <c r="B208" s="450"/>
      <c r="C208" s="449"/>
      <c r="D208" s="449"/>
      <c r="E208" s="449"/>
      <c r="F208" s="450"/>
      <c r="G208" s="451"/>
      <c r="H208" s="451"/>
      <c r="I208" s="451"/>
      <c r="J208" s="453"/>
    </row>
    <row r="209" spans="1:10" ht="16.5">
      <c r="A209" s="512"/>
      <c r="B209" s="450"/>
      <c r="C209" s="449"/>
      <c r="D209" s="449"/>
      <c r="E209" s="449"/>
      <c r="F209" s="450"/>
      <c r="G209" s="451"/>
      <c r="H209" s="451"/>
      <c r="I209" s="451"/>
      <c r="J209" s="453"/>
    </row>
    <row r="210" spans="1:10" ht="16.5">
      <c r="A210" s="512"/>
      <c r="B210" s="450"/>
      <c r="C210" s="449"/>
      <c r="D210" s="449"/>
      <c r="E210" s="449"/>
      <c r="F210" s="450"/>
      <c r="G210" s="451"/>
      <c r="H210" s="451"/>
      <c r="I210" s="451"/>
      <c r="J210" s="453"/>
    </row>
    <row r="211" spans="1:10" ht="16.5">
      <c r="A211" s="512"/>
      <c r="B211" s="450"/>
      <c r="C211" s="449"/>
      <c r="D211" s="449"/>
      <c r="E211" s="449"/>
      <c r="F211" s="450"/>
      <c r="G211" s="451"/>
      <c r="H211" s="451"/>
      <c r="I211" s="451"/>
      <c r="J211" s="453"/>
    </row>
    <row r="212" spans="1:10" ht="16.5">
      <c r="A212" s="512"/>
      <c r="B212" s="450"/>
      <c r="C212" s="449"/>
      <c r="D212" s="449"/>
      <c r="E212" s="449"/>
      <c r="F212" s="450"/>
      <c r="G212" s="451"/>
      <c r="H212" s="451"/>
      <c r="I212" s="451"/>
      <c r="J212" s="453"/>
    </row>
    <row r="213" spans="1:10" ht="16.5">
      <c r="A213" s="512"/>
      <c r="B213" s="450"/>
      <c r="C213" s="449"/>
      <c r="D213" s="449"/>
      <c r="E213" s="449"/>
      <c r="F213" s="450"/>
      <c r="G213" s="451"/>
      <c r="H213" s="451"/>
      <c r="I213" s="451"/>
      <c r="J213" s="453"/>
    </row>
    <row r="214" spans="1:10" ht="16.5">
      <c r="A214" s="512"/>
      <c r="B214" s="450"/>
      <c r="C214" s="449"/>
      <c r="D214" s="449"/>
      <c r="E214" s="449"/>
      <c r="F214" s="450"/>
      <c r="G214" s="451"/>
      <c r="H214" s="451"/>
      <c r="I214" s="451"/>
      <c r="J214" s="453"/>
    </row>
    <row r="215" spans="1:10" ht="16.5">
      <c r="A215" s="512"/>
      <c r="B215" s="450"/>
      <c r="C215" s="449"/>
      <c r="D215" s="449"/>
      <c r="E215" s="449"/>
      <c r="F215" s="450"/>
      <c r="G215" s="451"/>
      <c r="H215" s="451"/>
      <c r="I215" s="451"/>
      <c r="J215" s="453"/>
    </row>
    <row r="216" spans="1:10" ht="16.5">
      <c r="A216" s="512"/>
      <c r="B216" s="450"/>
      <c r="C216" s="449"/>
      <c r="D216" s="449"/>
      <c r="E216" s="449"/>
      <c r="F216" s="450"/>
      <c r="G216" s="451"/>
      <c r="H216" s="451"/>
      <c r="I216" s="451"/>
      <c r="J216" s="453"/>
    </row>
    <row r="217" spans="1:10" ht="16.5">
      <c r="A217" s="512"/>
      <c r="B217" s="450"/>
      <c r="C217" s="449"/>
      <c r="D217" s="449"/>
      <c r="E217" s="449"/>
      <c r="F217" s="450"/>
      <c r="G217" s="451"/>
      <c r="H217" s="451"/>
      <c r="I217" s="451"/>
      <c r="J217" s="453"/>
    </row>
    <row r="218" spans="1:10" ht="16.5">
      <c r="A218" s="512"/>
      <c r="B218" s="450"/>
      <c r="C218" s="449"/>
      <c r="D218" s="449"/>
      <c r="E218" s="449"/>
      <c r="F218" s="450"/>
      <c r="G218" s="451"/>
      <c r="H218" s="451"/>
      <c r="I218" s="451"/>
      <c r="J218" s="453"/>
    </row>
    <row r="219" spans="1:10" ht="16.5">
      <c r="A219" s="512"/>
      <c r="B219" s="450"/>
      <c r="C219" s="449"/>
      <c r="D219" s="449"/>
      <c r="E219" s="449"/>
      <c r="F219" s="450"/>
      <c r="G219" s="451"/>
      <c r="H219" s="451"/>
      <c r="I219" s="451"/>
      <c r="J219" s="453"/>
    </row>
    <row r="220" spans="1:10" ht="16.5">
      <c r="A220" s="512"/>
      <c r="B220" s="450"/>
      <c r="C220" s="449"/>
      <c r="D220" s="449"/>
      <c r="E220" s="449"/>
      <c r="F220" s="450"/>
      <c r="G220" s="451"/>
      <c r="H220" s="451"/>
      <c r="I220" s="451"/>
      <c r="J220" s="453"/>
    </row>
    <row r="221" spans="1:10" ht="16.5">
      <c r="A221" s="512"/>
      <c r="B221" s="450"/>
      <c r="C221" s="449"/>
      <c r="D221" s="449"/>
      <c r="E221" s="449"/>
      <c r="F221" s="450"/>
      <c r="G221" s="451"/>
      <c r="H221" s="451"/>
      <c r="I221" s="451"/>
      <c r="J221" s="453"/>
    </row>
    <row r="222" spans="1:10" ht="16.5">
      <c r="A222" s="512"/>
      <c r="B222" s="450"/>
      <c r="C222" s="449"/>
      <c r="D222" s="449"/>
      <c r="E222" s="449"/>
      <c r="F222" s="450"/>
      <c r="G222" s="451"/>
      <c r="H222" s="451"/>
      <c r="I222" s="451"/>
      <c r="J222" s="453"/>
    </row>
    <row r="223" spans="1:10" ht="16.5">
      <c r="A223" s="512"/>
      <c r="B223" s="450"/>
      <c r="C223" s="449"/>
      <c r="D223" s="449"/>
      <c r="E223" s="449"/>
      <c r="F223" s="450"/>
      <c r="G223" s="451"/>
      <c r="H223" s="451"/>
      <c r="I223" s="451"/>
      <c r="J223" s="453"/>
    </row>
    <row r="224" spans="1:10" ht="16.5">
      <c r="A224" s="512"/>
      <c r="B224" s="450"/>
      <c r="C224" s="449"/>
      <c r="D224" s="449"/>
      <c r="E224" s="449"/>
      <c r="F224" s="450"/>
      <c r="G224" s="451"/>
      <c r="H224" s="451"/>
      <c r="I224" s="451"/>
      <c r="J224" s="453"/>
    </row>
    <row r="225" spans="1:10" ht="16.5">
      <c r="A225" s="512"/>
      <c r="B225" s="450"/>
      <c r="C225" s="449"/>
      <c r="D225" s="449"/>
      <c r="E225" s="449"/>
      <c r="F225" s="450"/>
      <c r="G225" s="451"/>
      <c r="H225" s="451"/>
      <c r="I225" s="451"/>
      <c r="J225" s="453"/>
    </row>
    <row r="226" spans="1:10" ht="16.5">
      <c r="A226" s="512"/>
      <c r="B226" s="450"/>
      <c r="C226" s="449"/>
      <c r="D226" s="449"/>
      <c r="E226" s="449"/>
      <c r="F226" s="450"/>
      <c r="G226" s="451"/>
      <c r="H226" s="451"/>
      <c r="I226" s="451"/>
      <c r="J226" s="453"/>
    </row>
    <row r="227" spans="1:10" ht="16.5">
      <c r="A227" s="512"/>
      <c r="B227" s="450"/>
      <c r="C227" s="449"/>
      <c r="D227" s="449"/>
      <c r="E227" s="449"/>
      <c r="F227" s="450"/>
      <c r="G227" s="451"/>
      <c r="H227" s="451"/>
      <c r="I227" s="451"/>
      <c r="J227" s="453"/>
    </row>
    <row r="228" spans="1:10" ht="16.5">
      <c r="A228" s="512"/>
      <c r="B228" s="450"/>
      <c r="C228" s="449"/>
      <c r="D228" s="449"/>
      <c r="E228" s="449"/>
      <c r="F228" s="450"/>
      <c r="G228" s="451"/>
      <c r="H228" s="451"/>
      <c r="I228" s="451"/>
      <c r="J228" s="453"/>
    </row>
    <row r="229" spans="1:10" ht="16.5">
      <c r="A229" s="512"/>
      <c r="B229" s="450"/>
      <c r="C229" s="449"/>
      <c r="D229" s="449"/>
      <c r="E229" s="449"/>
      <c r="F229" s="450"/>
      <c r="G229" s="451"/>
      <c r="H229" s="451"/>
      <c r="I229" s="451"/>
      <c r="J229" s="453"/>
    </row>
    <row r="230" spans="1:10" ht="16.5">
      <c r="A230" s="512"/>
      <c r="B230" s="450"/>
      <c r="C230" s="449"/>
      <c r="D230" s="449"/>
      <c r="E230" s="449"/>
      <c r="F230" s="450"/>
      <c r="G230" s="451"/>
      <c r="H230" s="451"/>
      <c r="I230" s="451"/>
      <c r="J230" s="453"/>
    </row>
    <row r="231" spans="1:10" ht="16.5">
      <c r="A231" s="512"/>
      <c r="B231" s="450"/>
      <c r="C231" s="449"/>
      <c r="D231" s="449"/>
      <c r="E231" s="449"/>
      <c r="F231" s="450"/>
      <c r="G231" s="451"/>
      <c r="H231" s="451"/>
      <c r="I231" s="451"/>
      <c r="J231" s="453"/>
    </row>
    <row r="232" spans="1:10" ht="16.5">
      <c r="A232" s="512"/>
      <c r="B232" s="450"/>
      <c r="C232" s="449"/>
      <c r="D232" s="449"/>
      <c r="E232" s="449"/>
      <c r="F232" s="450"/>
      <c r="G232" s="451"/>
      <c r="H232" s="451"/>
      <c r="I232" s="451"/>
      <c r="J232" s="453"/>
    </row>
    <row r="233" spans="1:10" ht="16.5">
      <c r="A233" s="512"/>
      <c r="B233" s="450"/>
      <c r="C233" s="449"/>
      <c r="D233" s="449"/>
      <c r="E233" s="449"/>
      <c r="F233" s="450"/>
      <c r="G233" s="451"/>
      <c r="H233" s="451"/>
      <c r="I233" s="451"/>
      <c r="J233" s="453"/>
    </row>
    <row r="234" spans="1:10" ht="16.5">
      <c r="A234" s="512"/>
      <c r="B234" s="450"/>
      <c r="C234" s="449"/>
      <c r="D234" s="449"/>
      <c r="E234" s="449"/>
      <c r="F234" s="450"/>
      <c r="G234" s="451"/>
      <c r="H234" s="451"/>
      <c r="I234" s="451"/>
      <c r="J234" s="453"/>
    </row>
    <row r="235" spans="1:10" ht="16.5">
      <c r="A235" s="512"/>
      <c r="B235" s="450"/>
      <c r="C235" s="449"/>
      <c r="D235" s="449"/>
      <c r="E235" s="449"/>
      <c r="F235" s="450"/>
      <c r="G235" s="451"/>
      <c r="H235" s="451"/>
      <c r="I235" s="451"/>
      <c r="J235" s="453"/>
    </row>
    <row r="236" spans="1:10" ht="16.5">
      <c r="A236" s="512"/>
      <c r="B236" s="450"/>
      <c r="C236" s="449"/>
      <c r="D236" s="449"/>
      <c r="E236" s="449"/>
      <c r="F236" s="450"/>
      <c r="G236" s="451"/>
      <c r="H236" s="451"/>
      <c r="I236" s="451"/>
      <c r="J236" s="453"/>
    </row>
    <row r="237" spans="1:10" ht="16.5">
      <c r="A237" s="512"/>
      <c r="B237" s="450"/>
      <c r="C237" s="449"/>
      <c r="D237" s="449"/>
      <c r="E237" s="449"/>
      <c r="F237" s="450"/>
      <c r="G237" s="451"/>
      <c r="H237" s="451"/>
      <c r="I237" s="451"/>
      <c r="J237" s="453"/>
    </row>
    <row r="238" spans="1:10" ht="16.5">
      <c r="A238" s="512"/>
      <c r="B238" s="450"/>
      <c r="C238" s="449"/>
      <c r="D238" s="449"/>
      <c r="E238" s="449"/>
      <c r="F238" s="450"/>
      <c r="G238" s="451"/>
      <c r="H238" s="451"/>
      <c r="I238" s="451"/>
      <c r="J238" s="453"/>
    </row>
    <row r="239" spans="1:10" ht="16.5">
      <c r="A239" s="512"/>
      <c r="B239" s="450"/>
      <c r="C239" s="449"/>
      <c r="D239" s="449"/>
      <c r="E239" s="449"/>
      <c r="F239" s="450"/>
      <c r="G239" s="451"/>
      <c r="H239" s="451"/>
      <c r="I239" s="451"/>
      <c r="J239" s="453"/>
    </row>
    <row r="240" spans="1:10" ht="16.5">
      <c r="A240" s="512"/>
      <c r="B240" s="450"/>
      <c r="C240" s="449"/>
      <c r="D240" s="449"/>
      <c r="E240" s="449"/>
      <c r="F240" s="450"/>
      <c r="G240" s="451"/>
      <c r="H240" s="451"/>
      <c r="I240" s="451"/>
      <c r="J240" s="453"/>
    </row>
    <row r="241" spans="1:10" ht="16.5">
      <c r="A241" s="512"/>
      <c r="B241" s="450"/>
      <c r="C241" s="449"/>
      <c r="D241" s="449"/>
      <c r="E241" s="449"/>
      <c r="F241" s="450"/>
      <c r="G241" s="451"/>
      <c r="H241" s="451"/>
      <c r="I241" s="451"/>
      <c r="J241" s="453"/>
    </row>
    <row r="242" spans="1:10" ht="16.5">
      <c r="A242" s="512"/>
      <c r="B242" s="450"/>
      <c r="C242" s="449"/>
      <c r="D242" s="449"/>
      <c r="E242" s="449"/>
      <c r="F242" s="450"/>
      <c r="G242" s="451"/>
      <c r="H242" s="451"/>
      <c r="I242" s="451"/>
      <c r="J242" s="453"/>
    </row>
    <row r="243" spans="1:10" ht="16.5">
      <c r="A243" s="512"/>
      <c r="B243" s="450"/>
      <c r="C243" s="449"/>
      <c r="D243" s="449"/>
      <c r="E243" s="449"/>
      <c r="F243" s="450"/>
      <c r="G243" s="451"/>
      <c r="H243" s="451"/>
      <c r="I243" s="451"/>
      <c r="J243" s="453"/>
    </row>
    <row r="244" spans="1:10" ht="16.5">
      <c r="A244" s="512"/>
      <c r="B244" s="450"/>
      <c r="C244" s="449"/>
      <c r="D244" s="449"/>
      <c r="E244" s="449"/>
      <c r="F244" s="450"/>
      <c r="G244" s="451"/>
      <c r="H244" s="451"/>
      <c r="I244" s="451"/>
      <c r="J244" s="453"/>
    </row>
    <row r="245" spans="1:10" ht="16.5">
      <c r="A245" s="512"/>
      <c r="B245" s="450"/>
      <c r="C245" s="449"/>
      <c r="D245" s="449"/>
      <c r="E245" s="449"/>
      <c r="F245" s="450"/>
      <c r="G245" s="451"/>
      <c r="H245" s="451"/>
      <c r="I245" s="451"/>
      <c r="J245" s="453"/>
    </row>
    <row r="246" spans="1:10" ht="16.5">
      <c r="A246" s="512"/>
      <c r="B246" s="450"/>
      <c r="C246" s="449"/>
      <c r="D246" s="449"/>
      <c r="E246" s="449"/>
      <c r="F246" s="450"/>
      <c r="G246" s="451"/>
      <c r="H246" s="451"/>
      <c r="I246" s="451"/>
      <c r="J246" s="453"/>
    </row>
    <row r="247" spans="1:10" ht="16.5">
      <c r="A247" s="512"/>
      <c r="B247" s="450"/>
      <c r="C247" s="449"/>
      <c r="D247" s="449"/>
      <c r="E247" s="449"/>
      <c r="F247" s="450"/>
      <c r="G247" s="451"/>
      <c r="H247" s="451"/>
      <c r="I247" s="451"/>
      <c r="J247" s="453"/>
    </row>
    <row r="248" spans="1:10" ht="16.5">
      <c r="A248" s="512"/>
      <c r="B248" s="450"/>
      <c r="C248" s="449"/>
      <c r="D248" s="449"/>
      <c r="E248" s="449"/>
      <c r="F248" s="450"/>
      <c r="G248" s="451"/>
      <c r="H248" s="451"/>
      <c r="I248" s="451"/>
      <c r="J248" s="453"/>
    </row>
    <row r="249" spans="1:10" ht="16.5">
      <c r="A249" s="512"/>
      <c r="B249" s="450"/>
      <c r="C249" s="449"/>
      <c r="D249" s="449"/>
      <c r="E249" s="449"/>
      <c r="F249" s="450"/>
      <c r="G249" s="451"/>
      <c r="H249" s="451"/>
      <c r="I249" s="451"/>
      <c r="J249" s="453"/>
    </row>
  </sheetData>
  <sheetProtection/>
  <mergeCells count="5">
    <mergeCell ref="B59:D59"/>
    <mergeCell ref="H1:I1"/>
    <mergeCell ref="B2:I2"/>
    <mergeCell ref="A3:I3"/>
    <mergeCell ref="A4:I4"/>
  </mergeCells>
  <printOptions horizontalCentered="1"/>
  <pageMargins left="0" right="0" top="0" bottom="0" header="0.5118110236220472" footer="0.5511811023622047"/>
  <pageSetup fitToHeight="0" fitToWidth="1" horizontalDpi="600" verticalDpi="600" orientation="landscape" paperSize="9" scale="98" r:id="rId1"/>
  <headerFooter alignWithMargins="0">
    <oddFooter>&amp;R&amp;"Times New Roman,Regular"&amp;12&amp;P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V65"/>
  <sheetViews>
    <sheetView zoomScalePageLayoutView="0" workbookViewId="0" topLeftCell="A1">
      <pane xSplit="2" ySplit="20" topLeftCell="C21" activePane="bottomRight" state="frozen"/>
      <selection pane="topLeft" activeCell="C40" sqref="C40"/>
      <selection pane="topRight" activeCell="C40" sqref="C40"/>
      <selection pane="bottomLeft" activeCell="C40" sqref="C40"/>
      <selection pane="bottomRight" activeCell="C40" sqref="C40"/>
    </sheetView>
  </sheetViews>
  <sheetFormatPr defaultColWidth="9.140625" defaultRowHeight="12.75"/>
  <cols>
    <col min="1" max="1" width="4.421875" style="301" customWidth="1"/>
    <col min="2" max="2" width="36.57421875" style="218" customWidth="1"/>
    <col min="3" max="3" width="14.8515625" style="217" customWidth="1"/>
    <col min="4" max="4" width="14.8515625" style="218" customWidth="1"/>
    <col min="5" max="7" width="14.8515625" style="219" customWidth="1"/>
    <col min="8" max="8" width="14.8515625" style="302" customWidth="1"/>
    <col min="9" max="9" width="13.8515625" style="220" hidden="1" customWidth="1"/>
    <col min="10" max="10" width="12.140625" style="220" customWidth="1"/>
    <col min="11" max="12" width="9.140625" style="211" customWidth="1"/>
    <col min="13" max="13" width="10.140625" style="211" bestFit="1" customWidth="1"/>
    <col min="14" max="16384" width="9.140625" style="211" customWidth="1"/>
  </cols>
  <sheetData>
    <row r="1" spans="1:14" s="172" customFormat="1" ht="30.75" customHeight="1">
      <c r="A1" s="1807" t="s">
        <v>203</v>
      </c>
      <c r="B1" s="1807"/>
      <c r="C1" s="1807"/>
      <c r="D1" s="1807"/>
      <c r="E1" s="1807"/>
      <c r="F1" s="1807"/>
      <c r="G1" s="1807"/>
      <c r="H1" s="1807"/>
      <c r="I1" s="171"/>
      <c r="J1" s="171"/>
      <c r="K1" s="171"/>
      <c r="L1" s="171"/>
      <c r="M1" s="171"/>
      <c r="N1" s="171"/>
    </row>
    <row r="2" spans="1:10" ht="45" customHeight="1">
      <c r="A2" s="1825" t="s">
        <v>210</v>
      </c>
      <c r="B2" s="1826"/>
      <c r="C2" s="1826"/>
      <c r="D2" s="1826"/>
      <c r="E2" s="1826"/>
      <c r="F2" s="1826"/>
      <c r="G2" s="1826"/>
      <c r="H2" s="1826"/>
      <c r="I2" s="1826"/>
      <c r="J2" s="210"/>
    </row>
    <row r="3" spans="1:10" ht="12.75" customHeight="1">
      <c r="A3" s="212"/>
      <c r="B3" s="210"/>
      <c r="C3" s="213"/>
      <c r="D3" s="210"/>
      <c r="E3" s="210"/>
      <c r="F3" s="210"/>
      <c r="G3" s="210"/>
      <c r="H3" s="210"/>
      <c r="I3" s="214"/>
      <c r="J3" s="214"/>
    </row>
    <row r="4" spans="1:9" ht="27.75" customHeight="1">
      <c r="A4" s="215"/>
      <c r="B4" s="216"/>
      <c r="F4" s="1827" t="s">
        <v>209</v>
      </c>
      <c r="G4" s="1827"/>
      <c r="H4" s="1827"/>
      <c r="I4" s="1828"/>
    </row>
    <row r="5" spans="1:10" s="228" customFormat="1" ht="39.75" customHeight="1">
      <c r="A5" s="221"/>
      <c r="B5" s="222" t="s">
        <v>200</v>
      </c>
      <c r="C5" s="223" t="s">
        <v>199</v>
      </c>
      <c r="D5" s="224">
        <v>2011</v>
      </c>
      <c r="E5" s="225">
        <v>2012</v>
      </c>
      <c r="F5" s="225">
        <v>2013</v>
      </c>
      <c r="G5" s="225">
        <v>2014</v>
      </c>
      <c r="H5" s="225">
        <v>2015</v>
      </c>
      <c r="I5" s="226">
        <v>2011</v>
      </c>
      <c r="J5" s="227"/>
    </row>
    <row r="6" spans="1:12" s="236" customFormat="1" ht="52.5" customHeight="1" hidden="1">
      <c r="A6" s="229"/>
      <c r="B6" s="230" t="s">
        <v>137</v>
      </c>
      <c r="C6" s="231"/>
      <c r="D6" s="232"/>
      <c r="E6" s="232"/>
      <c r="F6" s="232"/>
      <c r="G6" s="232"/>
      <c r="H6" s="233"/>
      <c r="I6" s="234">
        <f>'[4]cc2011'!H5</f>
        <v>152000.05204045697</v>
      </c>
      <c r="J6" s="235"/>
      <c r="L6" s="237"/>
    </row>
    <row r="7" spans="1:22" s="247" customFormat="1" ht="46.5" customHeight="1" hidden="1">
      <c r="A7" s="238" t="s">
        <v>3</v>
      </c>
      <c r="B7" s="239" t="s">
        <v>196</v>
      </c>
      <c r="C7" s="240"/>
      <c r="D7" s="241"/>
      <c r="E7" s="242"/>
      <c r="F7" s="242"/>
      <c r="G7" s="242"/>
      <c r="H7" s="243"/>
      <c r="I7" s="244">
        <f>'[4]cc2011'!H6</f>
        <v>10080</v>
      </c>
      <c r="J7" s="245"/>
      <c r="K7" s="246"/>
      <c r="M7" s="248"/>
      <c r="N7" s="246"/>
      <c r="P7" s="248"/>
      <c r="Q7" s="246"/>
      <c r="S7" s="248"/>
      <c r="T7" s="246"/>
      <c r="V7" s="248"/>
    </row>
    <row r="8" spans="1:22" ht="47.25" hidden="1">
      <c r="A8" s="249"/>
      <c r="B8" s="250" t="s">
        <v>195</v>
      </c>
      <c r="C8" s="251"/>
      <c r="D8" s="252">
        <f>+'[4]cc2006'!C7+'[4]cc2006'!C8</f>
        <v>120</v>
      </c>
      <c r="E8" s="253">
        <f>+'[4]cc2007'!C8</f>
        <v>220</v>
      </c>
      <c r="F8" s="253">
        <f>+'[4]cc2008'!C8</f>
        <v>200</v>
      </c>
      <c r="G8" s="254">
        <f>+'[4]cc2009'!C8</f>
        <v>200</v>
      </c>
      <c r="H8" s="254">
        <f>+'[4]cc2010'!H8</f>
        <v>200</v>
      </c>
      <c r="I8" s="255">
        <f>'[4]cc2011'!H7</f>
        <v>180</v>
      </c>
      <c r="J8" s="256"/>
      <c r="K8" s="257"/>
      <c r="M8" s="258"/>
      <c r="N8" s="257"/>
      <c r="P8" s="258"/>
      <c r="Q8" s="257"/>
      <c r="S8" s="258"/>
      <c r="T8" s="257"/>
      <c r="V8" s="258"/>
    </row>
    <row r="9" spans="1:22" ht="47.25" hidden="1">
      <c r="A9" s="249"/>
      <c r="B9" s="250" t="s">
        <v>194</v>
      </c>
      <c r="C9" s="251"/>
      <c r="D9" s="252">
        <f>+'[4]cc2006'!C9</f>
        <v>300</v>
      </c>
      <c r="E9" s="253">
        <f>+'[4]cc2007'!C9</f>
        <v>200</v>
      </c>
      <c r="F9" s="253">
        <f>+'[4]cc2008'!C9</f>
        <v>200</v>
      </c>
      <c r="G9" s="254">
        <f>+'[4]cc2009'!C9</f>
        <v>200</v>
      </c>
      <c r="H9" s="254">
        <f>+'[4]cc2010'!H9</f>
        <v>200</v>
      </c>
      <c r="I9" s="255">
        <f>'[4]cc2011'!H8</f>
        <v>200</v>
      </c>
      <c r="J9" s="256"/>
      <c r="K9" s="257"/>
      <c r="M9" s="258"/>
      <c r="N9" s="257"/>
      <c r="P9" s="258"/>
      <c r="Q9" s="257"/>
      <c r="S9" s="258"/>
      <c r="T9" s="257"/>
      <c r="V9" s="258"/>
    </row>
    <row r="10" spans="1:22" ht="31.5" hidden="1">
      <c r="A10" s="249"/>
      <c r="B10" s="250" t="s">
        <v>193</v>
      </c>
      <c r="C10" s="251"/>
      <c r="D10" s="252">
        <f>+'[4]cc2006'!C10</f>
        <v>2000</v>
      </c>
      <c r="E10" s="253">
        <f>+'[4]cc2007'!C10</f>
        <v>2500</v>
      </c>
      <c r="F10" s="253">
        <f>+'[4]cc2008'!C10</f>
        <v>2300</v>
      </c>
      <c r="G10" s="254">
        <f>+'[4]cc2009'!C10</f>
        <v>3700</v>
      </c>
      <c r="H10" s="254">
        <f>+'[4]cc2010'!H10</f>
        <v>3700</v>
      </c>
      <c r="I10" s="255">
        <f>'[4]cc2011'!H9</f>
        <v>4500</v>
      </c>
      <c r="J10" s="256"/>
      <c r="K10" s="257"/>
      <c r="M10" s="258"/>
      <c r="N10" s="257"/>
      <c r="P10" s="258"/>
      <c r="Q10" s="257"/>
      <c r="S10" s="258"/>
      <c r="T10" s="257"/>
      <c r="V10" s="258"/>
    </row>
    <row r="11" spans="1:10" ht="15.75" hidden="1">
      <c r="A11" s="249"/>
      <c r="B11" s="259" t="s">
        <v>192</v>
      </c>
      <c r="C11" s="251"/>
      <c r="D11" s="253"/>
      <c r="E11" s="253"/>
      <c r="F11" s="253">
        <f>+'[4]cc2008'!C11</f>
        <v>120</v>
      </c>
      <c r="G11" s="254"/>
      <c r="H11" s="254"/>
      <c r="I11" s="255"/>
      <c r="J11" s="256"/>
    </row>
    <row r="12" spans="1:10" ht="31.5" hidden="1">
      <c r="A12" s="249"/>
      <c r="B12" s="260" t="s">
        <v>191</v>
      </c>
      <c r="C12" s="261"/>
      <c r="D12" s="253"/>
      <c r="E12" s="253"/>
      <c r="F12" s="253"/>
      <c r="G12" s="254">
        <f>+'[4]cc2009'!C11</f>
        <v>4900</v>
      </c>
      <c r="H12" s="254">
        <f>+'[4]cc2010'!H11</f>
        <v>3500</v>
      </c>
      <c r="I12" s="255">
        <f>'[4]cc2011'!H10</f>
        <v>3500</v>
      </c>
      <c r="J12" s="256"/>
    </row>
    <row r="13" spans="1:10" ht="78.75" hidden="1">
      <c r="A13" s="249"/>
      <c r="B13" s="260" t="s">
        <v>190</v>
      </c>
      <c r="C13" s="261"/>
      <c r="D13" s="253">
        <f>+'[4]cc2006'!C11</f>
        <v>150</v>
      </c>
      <c r="E13" s="253" t="e">
        <f>+'[4]cc2007'!C11</f>
        <v>#REF!</v>
      </c>
      <c r="F13" s="253"/>
      <c r="G13" s="254">
        <f>+'[4]cc2009'!C12</f>
        <v>160</v>
      </c>
      <c r="H13" s="254">
        <f>+'[4]cc2010'!H12</f>
        <v>300</v>
      </c>
      <c r="I13" s="255">
        <f>'[4]cc2011'!H11</f>
        <v>820</v>
      </c>
      <c r="J13" s="256"/>
    </row>
    <row r="14" spans="1:10" ht="15.75" hidden="1">
      <c r="A14" s="249"/>
      <c r="B14" s="262" t="s">
        <v>189</v>
      </c>
      <c r="C14" s="263"/>
      <c r="D14" s="253"/>
      <c r="E14" s="253">
        <f>+'[4]cc2007'!C13</f>
        <v>100</v>
      </c>
      <c r="F14" s="253"/>
      <c r="G14" s="254"/>
      <c r="H14" s="254"/>
      <c r="I14" s="255"/>
      <c r="J14" s="256"/>
    </row>
    <row r="15" spans="1:10" ht="15.75" hidden="1">
      <c r="A15" s="249"/>
      <c r="B15" s="259" t="s">
        <v>188</v>
      </c>
      <c r="C15" s="251"/>
      <c r="D15" s="253"/>
      <c r="E15" s="253">
        <f>+'[4]cc2007'!C12</f>
        <v>1000</v>
      </c>
      <c r="F15" s="253">
        <f>+'[4]cc2008'!C12</f>
        <v>600</v>
      </c>
      <c r="G15" s="254">
        <f>+'[4]cc2009'!C13</f>
        <v>800</v>
      </c>
      <c r="H15" s="254">
        <f>+'[4]cc2010'!H13</f>
        <v>800</v>
      </c>
      <c r="I15" s="255">
        <f>'[4]cc2011'!H12</f>
        <v>880</v>
      </c>
      <c r="J15" s="256"/>
    </row>
    <row r="16" spans="1:10" s="247" customFormat="1" ht="45.75" customHeight="1">
      <c r="A16" s="238"/>
      <c r="B16" s="264" t="s">
        <v>137</v>
      </c>
      <c r="C16" s="240" t="e">
        <f>+D16+E16+F16+G16+H16</f>
        <v>#REF!</v>
      </c>
      <c r="D16" s="242" t="e">
        <f>+D21+D33+D53+D55</f>
        <v>#REF!</v>
      </c>
      <c r="E16" s="242" t="e">
        <f>+E21+E33+E53+E55</f>
        <v>#REF!</v>
      </c>
      <c r="F16" s="242" t="e">
        <f>+F21+F33+F53+F55</f>
        <v>#REF!</v>
      </c>
      <c r="G16" s="242" t="e">
        <f>+G21+G33+G53+G55</f>
        <v>#REF!</v>
      </c>
      <c r="H16" s="242" t="e">
        <f>+H21+H33+H53+H55</f>
        <v>#REF!</v>
      </c>
      <c r="I16" s="242">
        <f>'[4]cc2006-2010'!I14</f>
        <v>880</v>
      </c>
      <c r="J16" s="235"/>
    </row>
    <row r="17" spans="1:10" s="247" customFormat="1" ht="45.75" customHeight="1" hidden="1">
      <c r="A17" s="238"/>
      <c r="B17" s="264" t="s">
        <v>137</v>
      </c>
      <c r="C17" s="240">
        <f>+D17+E17+F17+G17+H17</f>
        <v>1287000</v>
      </c>
      <c r="D17" s="242">
        <v>167000</v>
      </c>
      <c r="E17" s="242">
        <v>210000</v>
      </c>
      <c r="F17" s="242">
        <v>260000</v>
      </c>
      <c r="G17" s="242">
        <v>300000</v>
      </c>
      <c r="H17" s="242">
        <v>350000</v>
      </c>
      <c r="I17" s="242">
        <f>'[4]cc2006-2010'!I15</f>
        <v>141425.55204045697</v>
      </c>
      <c r="J17" s="245"/>
    </row>
    <row r="18" spans="1:10" s="247" customFormat="1" ht="30.75" customHeight="1" hidden="1">
      <c r="A18" s="238"/>
      <c r="B18" s="264"/>
      <c r="C18" s="240"/>
      <c r="D18" s="240">
        <v>170000</v>
      </c>
      <c r="E18" s="240">
        <v>210000</v>
      </c>
      <c r="F18" s="240">
        <v>260000</v>
      </c>
      <c r="G18" s="240">
        <v>300000</v>
      </c>
      <c r="H18" s="240">
        <v>350000</v>
      </c>
      <c r="I18" s="240">
        <f>+I21+I33+I53+I55</f>
        <v>141425.55204045697</v>
      </c>
      <c r="J18" s="245"/>
    </row>
    <row r="19" spans="1:10" s="247" customFormat="1" ht="36" customHeight="1" hidden="1">
      <c r="A19" s="238"/>
      <c r="B19" s="264"/>
      <c r="C19" s="240"/>
      <c r="D19" s="240">
        <v>45000</v>
      </c>
      <c r="E19" s="240">
        <v>45000</v>
      </c>
      <c r="F19" s="240">
        <v>45000</v>
      </c>
      <c r="G19" s="240">
        <v>45000</v>
      </c>
      <c r="H19" s="240">
        <v>45000</v>
      </c>
      <c r="I19" s="240"/>
      <c r="J19" s="245"/>
    </row>
    <row r="20" spans="1:10" s="247" customFormat="1" ht="45.75" customHeight="1" hidden="1">
      <c r="A20" s="238"/>
      <c r="B20" s="264"/>
      <c r="C20" s="265" t="e">
        <f aca="true" t="shared" si="0" ref="C20:H20">+C24+C26+C28+C30+C32+C36+C38+C40+C42+C44+C46+C48+C50+C52+C54+C56</f>
        <v>#REF!</v>
      </c>
      <c r="D20" s="265">
        <f t="shared" si="0"/>
        <v>100</v>
      </c>
      <c r="E20" s="265">
        <f t="shared" si="0"/>
        <v>100</v>
      </c>
      <c r="F20" s="265">
        <f t="shared" si="0"/>
        <v>100</v>
      </c>
      <c r="G20" s="265">
        <f t="shared" si="0"/>
        <v>100.00000000000001</v>
      </c>
      <c r="H20" s="265">
        <f t="shared" si="0"/>
        <v>100.00000000000001</v>
      </c>
      <c r="I20" s="240"/>
      <c r="J20" s="245"/>
    </row>
    <row r="21" spans="1:10" s="236" customFormat="1" ht="40.5" customHeight="1">
      <c r="A21" s="238" t="s">
        <v>29</v>
      </c>
      <c r="B21" s="264" t="s">
        <v>187</v>
      </c>
      <c r="C21" s="266" t="e">
        <f>+D21+E21+F21+G21+H21</f>
        <v>#REF!</v>
      </c>
      <c r="D21" s="266" t="e">
        <f aca="true" t="shared" si="1" ref="D21:I21">+D23+D25+D27+D29+D31</f>
        <v>#REF!</v>
      </c>
      <c r="E21" s="266" t="e">
        <f t="shared" si="1"/>
        <v>#REF!</v>
      </c>
      <c r="F21" s="266" t="e">
        <f t="shared" si="1"/>
        <v>#REF!</v>
      </c>
      <c r="G21" s="266" t="e">
        <f t="shared" si="1"/>
        <v>#REF!</v>
      </c>
      <c r="H21" s="266" t="e">
        <f t="shared" si="1"/>
        <v>#REF!</v>
      </c>
      <c r="I21" s="240">
        <f t="shared" si="1"/>
        <v>66858.44406704056</v>
      </c>
      <c r="J21" s="245"/>
    </row>
    <row r="22" spans="1:22" s="273" customFormat="1" ht="28.5" customHeight="1">
      <c r="A22" s="267"/>
      <c r="B22" s="268" t="s">
        <v>139</v>
      </c>
      <c r="C22" s="269" t="e">
        <f aca="true" t="shared" si="2" ref="C22:H22">100*C21/C$63</f>
        <v>#REF!</v>
      </c>
      <c r="D22" s="270" t="e">
        <f t="shared" si="2"/>
        <v>#REF!</v>
      </c>
      <c r="E22" s="269" t="e">
        <f t="shared" si="2"/>
        <v>#REF!</v>
      </c>
      <c r="F22" s="269" t="e">
        <f t="shared" si="2"/>
        <v>#REF!</v>
      </c>
      <c r="G22" s="269" t="e">
        <f t="shared" si="2"/>
        <v>#REF!</v>
      </c>
      <c r="H22" s="269" t="e">
        <f t="shared" si="2"/>
        <v>#REF!</v>
      </c>
      <c r="I22" s="269"/>
      <c r="J22" s="271"/>
      <c r="K22" s="272"/>
      <c r="M22" s="274"/>
      <c r="N22" s="272"/>
      <c r="P22" s="274"/>
      <c r="Q22" s="272"/>
      <c r="S22" s="274"/>
      <c r="T22" s="272"/>
      <c r="V22" s="274"/>
    </row>
    <row r="23" spans="1:20" ht="40.5" customHeight="1">
      <c r="A23" s="249">
        <v>1</v>
      </c>
      <c r="B23" s="259" t="s">
        <v>186</v>
      </c>
      <c r="C23" s="275" t="e">
        <f>+D23+E23+F23+G23+H23</f>
        <v>#REF!</v>
      </c>
      <c r="D23" s="276" t="e">
        <f>+D24*D$63/100</f>
        <v>#REF!</v>
      </c>
      <c r="E23" s="275" t="e">
        <f>+E24*E$63/100</f>
        <v>#REF!</v>
      </c>
      <c r="F23" s="275" t="e">
        <f>+F24*F$63/100</f>
        <v>#REF!</v>
      </c>
      <c r="G23" s="275" t="e">
        <f>+G24*G$63/100</f>
        <v>#REF!</v>
      </c>
      <c r="H23" s="275" t="e">
        <f>+H24*H$63/100</f>
        <v>#REF!</v>
      </c>
      <c r="I23" s="253">
        <f>+I24*I$17/100</f>
        <v>2137</v>
      </c>
      <c r="J23" s="277"/>
      <c r="K23" s="257"/>
      <c r="M23" s="258"/>
      <c r="N23" s="257"/>
      <c r="P23" s="258"/>
      <c r="Q23" s="257"/>
      <c r="S23" s="258"/>
      <c r="T23" s="257"/>
    </row>
    <row r="24" spans="1:22" s="273" customFormat="1" ht="22.5" customHeight="1">
      <c r="A24" s="267"/>
      <c r="B24" s="268" t="s">
        <v>139</v>
      </c>
      <c r="C24" s="269" t="e">
        <f>100*C23/C$63</f>
        <v>#REF!</v>
      </c>
      <c r="D24" s="270">
        <v>4.3</v>
      </c>
      <c r="E24" s="269">
        <v>4.2</v>
      </c>
      <c r="F24" s="269">
        <v>4.1</v>
      </c>
      <c r="G24" s="269">
        <v>4</v>
      </c>
      <c r="H24" s="269">
        <v>3.9</v>
      </c>
      <c r="I24" s="278">
        <f>'[4]cc2006-2010'!I32</f>
        <v>1.5110423605690986</v>
      </c>
      <c r="J24" s="271"/>
      <c r="K24" s="272"/>
      <c r="M24" s="274"/>
      <c r="N24" s="272"/>
      <c r="P24" s="274"/>
      <c r="Q24" s="272"/>
      <c r="S24" s="274"/>
      <c r="T24" s="272"/>
      <c r="V24" s="274"/>
    </row>
    <row r="25" spans="1:20" ht="40.5" customHeight="1">
      <c r="A25" s="249">
        <f>+A23+1</f>
        <v>2</v>
      </c>
      <c r="B25" s="259" t="s">
        <v>185</v>
      </c>
      <c r="C25" s="275" t="e">
        <f>+D25+E25+F25+G25+H25</f>
        <v>#REF!</v>
      </c>
      <c r="D25" s="275" t="e">
        <f>+D26*D$63/100</f>
        <v>#REF!</v>
      </c>
      <c r="E25" s="275" t="e">
        <f>+E26*E$63/100</f>
        <v>#REF!</v>
      </c>
      <c r="F25" s="275" t="e">
        <f>+F26*F$63/100</f>
        <v>#REF!</v>
      </c>
      <c r="G25" s="275" t="e">
        <f>+G26*G$63/100</f>
        <v>#REF!</v>
      </c>
      <c r="H25" s="275" t="e">
        <f>+H26*H$63/100</f>
        <v>#REF!</v>
      </c>
      <c r="I25" s="253">
        <f>+I26*I$17/100</f>
        <v>29715.15436937331</v>
      </c>
      <c r="J25" s="256"/>
      <c r="K25" s="257"/>
      <c r="M25" s="258"/>
      <c r="N25" s="257"/>
      <c r="P25" s="258"/>
      <c r="Q25" s="257"/>
      <c r="S25" s="258"/>
      <c r="T25" s="257"/>
    </row>
    <row r="26" spans="1:22" s="273" customFormat="1" ht="22.5" customHeight="1">
      <c r="A26" s="267"/>
      <c r="B26" s="268" t="s">
        <v>139</v>
      </c>
      <c r="C26" s="269" t="e">
        <f>100*C25/C$63</f>
        <v>#REF!</v>
      </c>
      <c r="D26" s="270">
        <v>21.5</v>
      </c>
      <c r="E26" s="269">
        <v>21.6</v>
      </c>
      <c r="F26" s="269">
        <v>21.7</v>
      </c>
      <c r="G26" s="269">
        <v>21.8</v>
      </c>
      <c r="H26" s="269">
        <v>21.8</v>
      </c>
      <c r="I26" s="278">
        <f>'[4]cc2006-2010'!I69</f>
        <v>21.011163782392615</v>
      </c>
      <c r="J26" s="279"/>
      <c r="K26" s="272"/>
      <c r="M26" s="274"/>
      <c r="N26" s="272"/>
      <c r="P26" s="274"/>
      <c r="Q26" s="272"/>
      <c r="S26" s="274"/>
      <c r="T26" s="272"/>
      <c r="V26" s="274"/>
    </row>
    <row r="27" spans="1:10" ht="40.5" customHeight="1">
      <c r="A27" s="249">
        <f>+A25+1</f>
        <v>3</v>
      </c>
      <c r="B27" s="259" t="s">
        <v>184</v>
      </c>
      <c r="C27" s="275" t="e">
        <f>+D27+E27+F27+G27+H27</f>
        <v>#REF!</v>
      </c>
      <c r="D27" s="275" t="e">
        <f>+D28*D$63/100</f>
        <v>#REF!</v>
      </c>
      <c r="E27" s="275" t="e">
        <f>+E28*E$63/100</f>
        <v>#REF!</v>
      </c>
      <c r="F27" s="275" t="e">
        <f>+F28*F$63/100</f>
        <v>#REF!</v>
      </c>
      <c r="G27" s="275" t="e">
        <f>+G28*G$63/100</f>
        <v>#REF!</v>
      </c>
      <c r="H27" s="275" t="e">
        <f>+H28*H$63/100</f>
        <v>#REF!</v>
      </c>
      <c r="I27" s="253">
        <f>+I28*I$17/100</f>
        <v>32348.157614015763</v>
      </c>
      <c r="J27" s="256"/>
    </row>
    <row r="28" spans="1:10" s="273" customFormat="1" ht="22.5" customHeight="1">
      <c r="A28" s="267"/>
      <c r="B28" s="280" t="s">
        <v>139</v>
      </c>
      <c r="C28" s="269" t="e">
        <f>100*C27/C$63</f>
        <v>#REF!</v>
      </c>
      <c r="D28" s="269">
        <v>28.3</v>
      </c>
      <c r="E28" s="269">
        <v>28.5</v>
      </c>
      <c r="F28" s="269">
        <v>28.7</v>
      </c>
      <c r="G28" s="269">
        <v>28.9</v>
      </c>
      <c r="H28" s="269">
        <v>30</v>
      </c>
      <c r="I28" s="278">
        <f>'[4]cc2006-2010'!I101</f>
        <v>22.87292299538776</v>
      </c>
      <c r="J28" s="279"/>
    </row>
    <row r="29" spans="1:10" ht="39.75" customHeight="1">
      <c r="A29" s="249">
        <f>+A27+1</f>
        <v>4</v>
      </c>
      <c r="B29" s="259" t="s">
        <v>150</v>
      </c>
      <c r="C29" s="275" t="e">
        <f>+D29+E29+F29+G29+H29</f>
        <v>#REF!</v>
      </c>
      <c r="D29" s="275" t="e">
        <f>+D30*D$63/100</f>
        <v>#REF!</v>
      </c>
      <c r="E29" s="275" t="e">
        <f>+E30*E$63/100</f>
        <v>#REF!</v>
      </c>
      <c r="F29" s="275" t="e">
        <f>+F30*F$63/100</f>
        <v>#REF!</v>
      </c>
      <c r="G29" s="275" t="e">
        <f>+G30*G$63/100</f>
        <v>#REF!</v>
      </c>
      <c r="H29" s="275" t="e">
        <f>+H30*H$63/100</f>
        <v>#REF!</v>
      </c>
      <c r="I29" s="253">
        <f>+I30*I$17/100</f>
        <v>1558.5831768189735</v>
      </c>
      <c r="J29" s="256"/>
    </row>
    <row r="30" spans="1:10" s="273" customFormat="1" ht="22.5" customHeight="1">
      <c r="A30" s="267"/>
      <c r="B30" s="280" t="s">
        <v>139</v>
      </c>
      <c r="C30" s="269" t="e">
        <f>100*C29/C$63</f>
        <v>#REF!</v>
      </c>
      <c r="D30" s="269">
        <v>1</v>
      </c>
      <c r="E30" s="269">
        <v>0.9</v>
      </c>
      <c r="F30" s="269">
        <v>0.8</v>
      </c>
      <c r="G30" s="269">
        <v>0.7</v>
      </c>
      <c r="H30" s="269">
        <v>0.5</v>
      </c>
      <c r="I30" s="278">
        <f>'[4]cc2006-2010'!I117</f>
        <v>1.1020520368010418</v>
      </c>
      <c r="J30" s="279"/>
    </row>
    <row r="31" spans="1:10" ht="40.5" customHeight="1">
      <c r="A31" s="249">
        <f>+A29+1</f>
        <v>5</v>
      </c>
      <c r="B31" s="259" t="s">
        <v>183</v>
      </c>
      <c r="C31" s="275" t="e">
        <f>+D31+E31+F31+G31+H31</f>
        <v>#REF!</v>
      </c>
      <c r="D31" s="275" t="e">
        <f>+D32*D$63/100</f>
        <v>#REF!</v>
      </c>
      <c r="E31" s="275" t="e">
        <f>+E32*E$63/100</f>
        <v>#REF!</v>
      </c>
      <c r="F31" s="275" t="e">
        <f>+F32*F$63/100</f>
        <v>#REF!</v>
      </c>
      <c r="G31" s="275" t="e">
        <f>+G32*G$63/100</f>
        <v>#REF!</v>
      </c>
      <c r="H31" s="275" t="e">
        <f>+H32*H$63/100</f>
        <v>#REF!</v>
      </c>
      <c r="I31" s="253">
        <f>+I32*I$17/100</f>
        <v>1099.548906832512</v>
      </c>
      <c r="J31" s="256"/>
    </row>
    <row r="32" spans="1:10" s="273" customFormat="1" ht="22.5" customHeight="1">
      <c r="A32" s="267"/>
      <c r="B32" s="280" t="s">
        <v>139</v>
      </c>
      <c r="C32" s="269" t="e">
        <f>100*C31/C$63</f>
        <v>#REF!</v>
      </c>
      <c r="D32" s="269">
        <v>0.8</v>
      </c>
      <c r="E32" s="269">
        <v>0.7</v>
      </c>
      <c r="F32" s="269">
        <v>0.6</v>
      </c>
      <c r="G32" s="269">
        <v>0.5</v>
      </c>
      <c r="H32" s="269">
        <v>0.4</v>
      </c>
      <c r="I32" s="278">
        <f>'[4]cc2006-2010'!I126</f>
        <v>0.7774754214980679</v>
      </c>
      <c r="J32" s="279"/>
    </row>
    <row r="33" spans="1:16" s="236" customFormat="1" ht="40.5" customHeight="1">
      <c r="A33" s="238" t="s">
        <v>30</v>
      </c>
      <c r="B33" s="264" t="s">
        <v>182</v>
      </c>
      <c r="C33" s="266" t="e">
        <f>+D33+E33+F33+G33+H33</f>
        <v>#REF!</v>
      </c>
      <c r="D33" s="266" t="e">
        <f aca="true" t="shared" si="3" ref="D33:I33">+D35+D37+D39+D41+D43+D45+D47+D49+D51</f>
        <v>#REF!</v>
      </c>
      <c r="E33" s="266" t="e">
        <f t="shared" si="3"/>
        <v>#REF!</v>
      </c>
      <c r="F33" s="266" t="e">
        <f t="shared" si="3"/>
        <v>#REF!</v>
      </c>
      <c r="G33" s="266" t="e">
        <f t="shared" si="3"/>
        <v>#REF!</v>
      </c>
      <c r="H33" s="266" t="e">
        <f t="shared" si="3"/>
        <v>#REF!</v>
      </c>
      <c r="I33" s="240">
        <f t="shared" si="3"/>
        <v>68161.3079734164</v>
      </c>
      <c r="J33" s="245"/>
      <c r="M33" s="236" t="s">
        <v>181</v>
      </c>
      <c r="N33" s="236" t="s">
        <v>179</v>
      </c>
      <c r="O33" s="236" t="s">
        <v>178</v>
      </c>
      <c r="P33" s="236" t="s">
        <v>176</v>
      </c>
    </row>
    <row r="34" spans="1:10" s="273" customFormat="1" ht="24" customHeight="1">
      <c r="A34" s="267"/>
      <c r="B34" s="280" t="s">
        <v>139</v>
      </c>
      <c r="C34" s="269" t="e">
        <f aca="true" t="shared" si="4" ref="C34:H34">100*C33/C$63</f>
        <v>#REF!</v>
      </c>
      <c r="D34" s="269" t="e">
        <f t="shared" si="4"/>
        <v>#REF!</v>
      </c>
      <c r="E34" s="269" t="e">
        <f t="shared" si="4"/>
        <v>#REF!</v>
      </c>
      <c r="F34" s="269" t="e">
        <f t="shared" si="4"/>
        <v>#REF!</v>
      </c>
      <c r="G34" s="269" t="e">
        <f t="shared" si="4"/>
        <v>#REF!</v>
      </c>
      <c r="H34" s="269" t="e">
        <f t="shared" si="4"/>
        <v>#REF!</v>
      </c>
      <c r="I34" s="269"/>
      <c r="J34" s="279"/>
    </row>
    <row r="35" spans="1:13" ht="40.5" customHeight="1">
      <c r="A35" s="249">
        <f>+A31+1</f>
        <v>6</v>
      </c>
      <c r="B35" s="259" t="s">
        <v>180</v>
      </c>
      <c r="C35" s="275" t="e">
        <f>+D35+E35+F35+G35+H35</f>
        <v>#REF!</v>
      </c>
      <c r="D35" s="275" t="e">
        <f>+D36*D$63/100</f>
        <v>#REF!</v>
      </c>
      <c r="E35" s="275" t="e">
        <f>+E36*E$63/100</f>
        <v>#REF!</v>
      </c>
      <c r="F35" s="275" t="e">
        <f>+F36*F$63/100</f>
        <v>#REF!</v>
      </c>
      <c r="G35" s="275" t="e">
        <f>+G36*G$63/100</f>
        <v>#REF!</v>
      </c>
      <c r="H35" s="275" t="e">
        <f>+H36*H$63/100</f>
        <v>#REF!</v>
      </c>
      <c r="I35" s="253">
        <f>+I36*I$17/100</f>
        <v>5609.594388896713</v>
      </c>
      <c r="J35" s="256"/>
      <c r="L35" s="211" t="s">
        <v>179</v>
      </c>
      <c r="M35" s="211">
        <v>0.1</v>
      </c>
    </row>
    <row r="36" spans="1:13" s="273" customFormat="1" ht="22.5" customHeight="1">
      <c r="A36" s="267"/>
      <c r="B36" s="280" t="s">
        <v>139</v>
      </c>
      <c r="C36" s="269" t="e">
        <f>100*C35/C$63</f>
        <v>#REF!</v>
      </c>
      <c r="D36" s="269">
        <v>3</v>
      </c>
      <c r="E36" s="269">
        <v>3</v>
      </c>
      <c r="F36" s="269">
        <v>3</v>
      </c>
      <c r="G36" s="269">
        <v>3</v>
      </c>
      <c r="H36" s="269">
        <v>3</v>
      </c>
      <c r="I36" s="278">
        <f>'[4]cc2006-2010'!I138</f>
        <v>3.9664645518173423</v>
      </c>
      <c r="J36" s="279"/>
      <c r="L36" s="273" t="s">
        <v>178</v>
      </c>
      <c r="M36" s="273">
        <v>0.25</v>
      </c>
    </row>
    <row r="37" spans="1:13" ht="40.5" customHeight="1">
      <c r="A37" s="249">
        <f>+A35+1</f>
        <v>7</v>
      </c>
      <c r="B37" s="259" t="s">
        <v>177</v>
      </c>
      <c r="C37" s="275" t="e">
        <f>+D37+E37+F37+G37+H37</f>
        <v>#REF!</v>
      </c>
      <c r="D37" s="275" t="e">
        <f>+D38*D$63/100</f>
        <v>#REF!</v>
      </c>
      <c r="E37" s="275" t="e">
        <f>+E38*E$63/100</f>
        <v>#REF!</v>
      </c>
      <c r="F37" s="275" t="e">
        <f>+F38*F$63/100</f>
        <v>#REF!</v>
      </c>
      <c r="G37" s="275" t="e">
        <f>+G38*G$63/100</f>
        <v>#REF!</v>
      </c>
      <c r="H37" s="275" t="e">
        <f>+H38*H$63/100</f>
        <v>#REF!</v>
      </c>
      <c r="I37" s="253">
        <f>+I38*I$17/100</f>
        <v>5019.7</v>
      </c>
      <c r="J37" s="256"/>
      <c r="L37" s="211" t="s">
        <v>176</v>
      </c>
      <c r="M37" s="211">
        <v>0.55</v>
      </c>
    </row>
    <row r="38" spans="1:10" s="273" customFormat="1" ht="22.5" customHeight="1">
      <c r="A38" s="267"/>
      <c r="B38" s="280" t="s">
        <v>139</v>
      </c>
      <c r="C38" s="269" t="e">
        <f>100*C37/C$63</f>
        <v>#REF!</v>
      </c>
      <c r="D38" s="269">
        <v>2.8</v>
      </c>
      <c r="E38" s="269">
        <v>3</v>
      </c>
      <c r="F38" s="269">
        <v>3.2</v>
      </c>
      <c r="G38" s="269">
        <v>3.3</v>
      </c>
      <c r="H38" s="269">
        <v>3.4</v>
      </c>
      <c r="I38" s="278">
        <f>'[4]cc2006-2010'!I153</f>
        <v>3.549358604281097</v>
      </c>
      <c r="J38" s="279"/>
    </row>
    <row r="39" spans="1:22" ht="40.5" customHeight="1">
      <c r="A39" s="249">
        <f>+A37+1</f>
        <v>8</v>
      </c>
      <c r="B39" s="250" t="s">
        <v>175</v>
      </c>
      <c r="C39" s="275" t="e">
        <f>+D39+E39+F39+G39+H39</f>
        <v>#REF!</v>
      </c>
      <c r="D39" s="276" t="e">
        <f>+D40*D$63/100</f>
        <v>#REF!</v>
      </c>
      <c r="E39" s="275" t="e">
        <f>+E40*E$63/100</f>
        <v>#REF!</v>
      </c>
      <c r="F39" s="275" t="e">
        <f>+F40*F$63/100</f>
        <v>#REF!</v>
      </c>
      <c r="G39" s="275" t="e">
        <f>+G40*G$63/100</f>
        <v>#REF!</v>
      </c>
      <c r="H39" s="275" t="e">
        <f>+H40*H$63/100</f>
        <v>#REF!</v>
      </c>
      <c r="I39" s="253">
        <f>+I40*I$17/100</f>
        <v>2954.3022918643965</v>
      </c>
      <c r="J39" s="256"/>
      <c r="K39" s="257"/>
      <c r="M39" s="258"/>
      <c r="N39" s="257"/>
      <c r="P39" s="258"/>
      <c r="Q39" s="257"/>
      <c r="S39" s="258"/>
      <c r="T39" s="257"/>
      <c r="V39" s="258"/>
    </row>
    <row r="40" spans="1:10" s="273" customFormat="1" ht="22.5" customHeight="1">
      <c r="A40" s="267"/>
      <c r="B40" s="280" t="s">
        <v>139</v>
      </c>
      <c r="C40" s="269" t="e">
        <f>100*C39/C$63</f>
        <v>#REF!</v>
      </c>
      <c r="D40" s="269">
        <v>1.7</v>
      </c>
      <c r="E40" s="269">
        <v>1.7</v>
      </c>
      <c r="F40" s="269">
        <v>1.8</v>
      </c>
      <c r="G40" s="269">
        <v>1.9</v>
      </c>
      <c r="H40" s="269">
        <v>1.9</v>
      </c>
      <c r="I40" s="278">
        <f>'[4]cc2006-2010'!I162</f>
        <v>2.0889452077367694</v>
      </c>
      <c r="J40" s="279"/>
    </row>
    <row r="41" spans="1:12" ht="40.5" customHeight="1">
      <c r="A41" s="249">
        <f>+A39+1</f>
        <v>9</v>
      </c>
      <c r="B41" s="259" t="s">
        <v>156</v>
      </c>
      <c r="C41" s="275" t="e">
        <f>+D41+E41+F41+G41+H41</f>
        <v>#REF!</v>
      </c>
      <c r="D41" s="275" t="e">
        <f>+D42*D$63/100</f>
        <v>#REF!</v>
      </c>
      <c r="E41" s="275" t="e">
        <f>+E42*E$63/100</f>
        <v>#REF!</v>
      </c>
      <c r="F41" s="275" t="e">
        <f>+F42*F$63/100</f>
        <v>#REF!</v>
      </c>
      <c r="G41" s="275" t="e">
        <f>+G42*G$63/100</f>
        <v>#REF!</v>
      </c>
      <c r="H41" s="275" t="e">
        <f>+H42*H$63/100</f>
        <v>#REF!</v>
      </c>
      <c r="I41" s="253">
        <f>+I42*I$17/100</f>
        <v>24837.7</v>
      </c>
      <c r="J41" s="256"/>
      <c r="L41" s="211" t="s">
        <v>174</v>
      </c>
    </row>
    <row r="42" spans="1:10" s="273" customFormat="1" ht="22.5" customHeight="1">
      <c r="A42" s="267"/>
      <c r="B42" s="280" t="s">
        <v>139</v>
      </c>
      <c r="C42" s="269" t="e">
        <f>100*C41/C$63</f>
        <v>#REF!</v>
      </c>
      <c r="D42" s="269">
        <v>15.8</v>
      </c>
      <c r="E42" s="269">
        <v>16</v>
      </c>
      <c r="F42" s="269">
        <v>16.2</v>
      </c>
      <c r="G42" s="269">
        <v>16.4</v>
      </c>
      <c r="H42" s="269">
        <v>16.5</v>
      </c>
      <c r="I42" s="278">
        <f>'[4]cc2006-2010'!I190</f>
        <v>17.562385044037015</v>
      </c>
      <c r="J42" s="279"/>
    </row>
    <row r="43" spans="1:13" ht="40.5" customHeight="1">
      <c r="A43" s="249">
        <f>+A41+1</f>
        <v>10</v>
      </c>
      <c r="B43" s="259" t="s">
        <v>173</v>
      </c>
      <c r="C43" s="275" t="e">
        <f>+D43+E43+F43+G43+H43</f>
        <v>#REF!</v>
      </c>
      <c r="D43" s="275" t="e">
        <f>+D44*D$63/100</f>
        <v>#REF!</v>
      </c>
      <c r="E43" s="275" t="e">
        <f>+E44*E$63/100</f>
        <v>#REF!</v>
      </c>
      <c r="F43" s="275" t="e">
        <f>+F44*F$63/100</f>
        <v>#REF!</v>
      </c>
      <c r="G43" s="275" t="e">
        <f>+G44*G$63/100</f>
        <v>#REF!</v>
      </c>
      <c r="H43" s="275" t="e">
        <f>+H44*H$63/100</f>
        <v>#REF!</v>
      </c>
      <c r="I43" s="253">
        <f>+I44*I$17/100</f>
        <v>8018.572504599956</v>
      </c>
      <c r="J43" s="256"/>
      <c r="K43" s="211" t="s">
        <v>173</v>
      </c>
      <c r="L43" s="211">
        <f>+'[4]cc2010'!C154</f>
        <v>5678.5351351351355</v>
      </c>
      <c r="M43" s="211">
        <f>+L43/(L43+L45)</f>
        <v>0.6189692805260986</v>
      </c>
    </row>
    <row r="44" spans="1:10" s="273" customFormat="1" ht="22.5" customHeight="1">
      <c r="A44" s="267"/>
      <c r="B44" s="280" t="s">
        <v>139</v>
      </c>
      <c r="C44" s="269" t="e">
        <f>100*C43/C$63</f>
        <v>#REF!</v>
      </c>
      <c r="D44" s="269">
        <v>6.1</v>
      </c>
      <c r="E44" s="269">
        <v>6</v>
      </c>
      <c r="F44" s="269">
        <v>5.9</v>
      </c>
      <c r="G44" s="269">
        <v>5.9</v>
      </c>
      <c r="H44" s="269">
        <v>5.8</v>
      </c>
      <c r="I44" s="278">
        <f>'[4]cc2006-2010'!I212</f>
        <v>5.669818776670653</v>
      </c>
      <c r="J44" s="279"/>
    </row>
    <row r="45" spans="1:13" ht="40.5" customHeight="1">
      <c r="A45" s="249">
        <f>+A43+1</f>
        <v>11</v>
      </c>
      <c r="B45" s="259" t="s">
        <v>172</v>
      </c>
      <c r="C45" s="275" t="e">
        <f>+D45+E45+F45+G45+H45</f>
        <v>#REF!</v>
      </c>
      <c r="D45" s="275" t="e">
        <f>+D46*D$63/100</f>
        <v>#REF!</v>
      </c>
      <c r="E45" s="275" t="e">
        <f>+E46*E$63/100</f>
        <v>#REF!</v>
      </c>
      <c r="F45" s="275" t="e">
        <f>+F46*F$63/100</f>
        <v>#REF!</v>
      </c>
      <c r="G45" s="275" t="e">
        <f>+G46*G$63/100</f>
        <v>#REF!</v>
      </c>
      <c r="H45" s="275" t="e">
        <f>+H46*H$63/100</f>
        <v>#REF!</v>
      </c>
      <c r="I45" s="253">
        <f>+I46*I$17/100</f>
        <v>5461.431251255277</v>
      </c>
      <c r="J45" s="256"/>
      <c r="K45" s="211" t="s">
        <v>172</v>
      </c>
      <c r="L45" s="211">
        <f>+'[4]cc2010'!C170</f>
        <v>3495.644123500466</v>
      </c>
      <c r="M45" s="211">
        <f>+L45/(L43+L45)</f>
        <v>0.38103071947390127</v>
      </c>
    </row>
    <row r="46" spans="1:10" s="273" customFormat="1" ht="24.75" customHeight="1">
      <c r="A46" s="267"/>
      <c r="B46" s="280" t="s">
        <v>139</v>
      </c>
      <c r="C46" s="269" t="e">
        <f>100*C45/C$63</f>
        <v>#REF!</v>
      </c>
      <c r="D46" s="269">
        <v>2.8</v>
      </c>
      <c r="E46" s="269">
        <v>2.9</v>
      </c>
      <c r="F46" s="269">
        <v>2.9</v>
      </c>
      <c r="G46" s="269">
        <v>3</v>
      </c>
      <c r="H46" s="269">
        <v>3</v>
      </c>
      <c r="I46" s="278">
        <f>'[4]cc2006-2010'!I236</f>
        <v>3.861700500693786</v>
      </c>
      <c r="J46" s="279"/>
    </row>
    <row r="47" spans="1:12" ht="40.5" customHeight="1">
      <c r="A47" s="249">
        <v>12</v>
      </c>
      <c r="B47" s="259" t="s">
        <v>171</v>
      </c>
      <c r="C47" s="275" t="e">
        <f>+D47+E47+F47+G47+H47</f>
        <v>#REF!</v>
      </c>
      <c r="D47" s="275" t="e">
        <f>+D48*D$63/100</f>
        <v>#REF!</v>
      </c>
      <c r="E47" s="275" t="e">
        <f>+E48*E$63/100</f>
        <v>#REF!</v>
      </c>
      <c r="F47" s="275" t="e">
        <f>+F48*F$63/100</f>
        <v>#REF!</v>
      </c>
      <c r="G47" s="275" t="e">
        <f>+G48*G$63/100</f>
        <v>#REF!</v>
      </c>
      <c r="H47" s="275" t="e">
        <f>+H48*H$63/100</f>
        <v>#REF!</v>
      </c>
      <c r="I47" s="253">
        <f>+I48*I$17/100</f>
        <v>3899.979185976318</v>
      </c>
      <c r="J47" s="256"/>
      <c r="K47" s="211" t="s">
        <v>170</v>
      </c>
      <c r="L47" s="211">
        <f>+'[4]cc2010'!H192+'[4]cc2010'!H211</f>
        <v>4522.533988113533</v>
      </c>
    </row>
    <row r="48" spans="1:13" s="273" customFormat="1" ht="22.5" customHeight="1">
      <c r="A48" s="267"/>
      <c r="B48" s="280" t="s">
        <v>139</v>
      </c>
      <c r="C48" s="269" t="e">
        <f>100*C47/C$63</f>
        <v>#REF!</v>
      </c>
      <c r="D48" s="269">
        <v>1.9</v>
      </c>
      <c r="E48" s="269">
        <v>1.8</v>
      </c>
      <c r="F48" s="269">
        <v>1.7</v>
      </c>
      <c r="G48" s="269">
        <v>1.5</v>
      </c>
      <c r="H48" s="269">
        <v>1.2</v>
      </c>
      <c r="I48" s="278">
        <f>'[4]cc2006-2010'!I270</f>
        <v>2.7576199135928907</v>
      </c>
      <c r="J48" s="279"/>
      <c r="K48" s="211" t="s">
        <v>169</v>
      </c>
      <c r="L48" s="273">
        <f>+'[4]cc2010'!H192-580</f>
        <v>3116.5592327232416</v>
      </c>
      <c r="M48" s="273">
        <f>+L48/L47</f>
        <v>0.6891179239148714</v>
      </c>
    </row>
    <row r="49" spans="1:13" ht="40.5" customHeight="1">
      <c r="A49" s="249">
        <v>13</v>
      </c>
      <c r="B49" s="259" t="s">
        <v>168</v>
      </c>
      <c r="C49" s="275" t="e">
        <f>+D49+E49+F49+G49+H49</f>
        <v>#REF!</v>
      </c>
      <c r="D49" s="275" t="e">
        <f>+D50*D$63/100</f>
        <v>#REF!</v>
      </c>
      <c r="E49" s="275" t="e">
        <f>+E50*E$63/100</f>
        <v>#REF!</v>
      </c>
      <c r="F49" s="275" t="e">
        <f>+F50*F$63/100</f>
        <v>#REF!</v>
      </c>
      <c r="G49" s="275" t="e">
        <f>+G50*G$63/100</f>
        <v>#REF!</v>
      </c>
      <c r="H49" s="275" t="e">
        <f>+H50*H$63/100</f>
        <v>#REF!</v>
      </c>
      <c r="I49" s="253">
        <f>+I50*I$17/100</f>
        <v>1089.2936307293148</v>
      </c>
      <c r="J49" s="256"/>
      <c r="K49" s="211" t="s">
        <v>167</v>
      </c>
      <c r="L49" s="273">
        <f>+'[4]cc2010'!H211+580</f>
        <v>1405.9747553902912</v>
      </c>
      <c r="M49" s="211">
        <f>+L49/L47</f>
        <v>0.3108820760851285</v>
      </c>
    </row>
    <row r="50" spans="1:10" s="273" customFormat="1" ht="22.5" customHeight="1">
      <c r="A50" s="267"/>
      <c r="B50" s="280" t="s">
        <v>139</v>
      </c>
      <c r="C50" s="269" t="e">
        <f>100*C49/C$63</f>
        <v>#REF!</v>
      </c>
      <c r="D50" s="269">
        <v>0.8</v>
      </c>
      <c r="E50" s="269">
        <v>0.7</v>
      </c>
      <c r="F50" s="269">
        <v>0.6</v>
      </c>
      <c r="G50" s="269">
        <v>0.5</v>
      </c>
      <c r="H50" s="269">
        <v>0.4</v>
      </c>
      <c r="I50" s="278">
        <f>'[4]cc2006-2010'!I275</f>
        <v>0.7702240613617725</v>
      </c>
      <c r="J50" s="279"/>
    </row>
    <row r="51" spans="1:10" ht="40.5" customHeight="1">
      <c r="A51" s="249">
        <f>+A49+1</f>
        <v>14</v>
      </c>
      <c r="B51" s="259" t="s">
        <v>166</v>
      </c>
      <c r="C51" s="275" t="e">
        <f>+D51+E51+F51+G51+H51</f>
        <v>#REF!</v>
      </c>
      <c r="D51" s="275" t="e">
        <f>+D52*D$63/100</f>
        <v>#REF!</v>
      </c>
      <c r="E51" s="275" t="e">
        <f>+E52*E$63/100</f>
        <v>#REF!</v>
      </c>
      <c r="F51" s="275" t="e">
        <f>+F52*F$63/100</f>
        <v>#REF!</v>
      </c>
      <c r="G51" s="275" t="e">
        <f>+G52*G$63/100</f>
        <v>#REF!</v>
      </c>
      <c r="H51" s="275" t="e">
        <f>+H52*H$63/100</f>
        <v>#REF!</v>
      </c>
      <c r="I51" s="253">
        <f>+I52*I$17/100</f>
        <v>11270.734720094428</v>
      </c>
      <c r="J51" s="256"/>
    </row>
    <row r="52" spans="1:10" s="273" customFormat="1" ht="22.5" customHeight="1">
      <c r="A52" s="267"/>
      <c r="B52" s="280" t="s">
        <v>139</v>
      </c>
      <c r="C52" s="269" t="e">
        <f>100*C51/C$63</f>
        <v>#REF!</v>
      </c>
      <c r="D52" s="269">
        <v>6</v>
      </c>
      <c r="E52" s="269">
        <v>5.8</v>
      </c>
      <c r="F52" s="269">
        <v>5.6</v>
      </c>
      <c r="G52" s="269">
        <v>5.4</v>
      </c>
      <c r="H52" s="269">
        <v>5</v>
      </c>
      <c r="I52" s="278">
        <f>'[4]cc2006-2010'!I294</f>
        <v>7.96937650762732</v>
      </c>
      <c r="J52" s="279"/>
    </row>
    <row r="53" spans="1:13" s="236" customFormat="1" ht="40.5" customHeight="1">
      <c r="A53" s="238" t="s">
        <v>41</v>
      </c>
      <c r="B53" s="264" t="s">
        <v>165</v>
      </c>
      <c r="C53" s="266" t="e">
        <f>+D53+E53+F53+G53+H53</f>
        <v>#REF!</v>
      </c>
      <c r="D53" s="281" t="e">
        <f>+D54*D$63/100</f>
        <v>#REF!</v>
      </c>
      <c r="E53" s="281" t="e">
        <f>+E54*E$63/100</f>
        <v>#REF!</v>
      </c>
      <c r="F53" s="281" t="e">
        <f>+F54*F$63/100</f>
        <v>#REF!</v>
      </c>
      <c r="G53" s="281" t="e">
        <f>+G54*G$63/100</f>
        <v>#REF!</v>
      </c>
      <c r="H53" s="281" t="e">
        <f>+H54*H$63/100</f>
        <v>#REF!</v>
      </c>
      <c r="I53" s="242">
        <f>+I54*I$17/100</f>
        <v>4635.8</v>
      </c>
      <c r="J53" s="245"/>
      <c r="K53" s="236" t="s">
        <v>165</v>
      </c>
      <c r="L53" s="236">
        <v>3150</v>
      </c>
      <c r="M53" s="211">
        <f>+L53/(L53+L55)</f>
        <v>0.7682926829268293</v>
      </c>
    </row>
    <row r="54" spans="1:10" s="273" customFormat="1" ht="22.5" customHeight="1">
      <c r="A54" s="267"/>
      <c r="B54" s="280" t="s">
        <v>139</v>
      </c>
      <c r="C54" s="269" t="e">
        <f>100*C53/C$63</f>
        <v>#REF!</v>
      </c>
      <c r="D54" s="269">
        <v>2.4</v>
      </c>
      <c r="E54" s="269">
        <v>2.4</v>
      </c>
      <c r="F54" s="269">
        <v>2.4</v>
      </c>
      <c r="G54" s="269">
        <v>2.4</v>
      </c>
      <c r="H54" s="269">
        <v>2.4</v>
      </c>
      <c r="I54" s="278">
        <f>'[4]cc2006-2010'!I302</f>
        <v>3.2779083645887823</v>
      </c>
      <c r="J54" s="279"/>
    </row>
    <row r="55" spans="1:13" s="236" customFormat="1" ht="40.5" customHeight="1">
      <c r="A55" s="238" t="s">
        <v>42</v>
      </c>
      <c r="B55" s="264" t="s">
        <v>164</v>
      </c>
      <c r="C55" s="266" t="e">
        <f>+D55+E55+F55+G55+H55</f>
        <v>#REF!</v>
      </c>
      <c r="D55" s="281" t="e">
        <f>+D56*D$63/100</f>
        <v>#REF!</v>
      </c>
      <c r="E55" s="281" t="e">
        <f>+E56*E$63/100</f>
        <v>#REF!</v>
      </c>
      <c r="F55" s="281" t="e">
        <f>+F56*F$63/100</f>
        <v>#REF!</v>
      </c>
      <c r="G55" s="281" t="e">
        <f>+G56*G$63/100</f>
        <v>#REF!</v>
      </c>
      <c r="H55" s="281" t="e">
        <f>+H56*H$63/100</f>
        <v>#REF!</v>
      </c>
      <c r="I55" s="242">
        <f>+I56*I$17/100</f>
        <v>1770</v>
      </c>
      <c r="J55" s="245"/>
      <c r="K55" s="236" t="s">
        <v>164</v>
      </c>
      <c r="L55" s="236">
        <v>950</v>
      </c>
      <c r="M55" s="236">
        <f>+L55/(L53+L55)</f>
        <v>0.23170731707317074</v>
      </c>
    </row>
    <row r="56" spans="1:10" s="273" customFormat="1" ht="22.5" customHeight="1">
      <c r="A56" s="267"/>
      <c r="B56" s="280" t="s">
        <v>139</v>
      </c>
      <c r="C56" s="269" t="e">
        <f>100*C55/C$63</f>
        <v>#REF!</v>
      </c>
      <c r="D56" s="269">
        <v>0.8</v>
      </c>
      <c r="E56" s="269">
        <v>0.8</v>
      </c>
      <c r="F56" s="269">
        <v>0.8</v>
      </c>
      <c r="G56" s="269">
        <v>0.8</v>
      </c>
      <c r="H56" s="269">
        <v>0.8</v>
      </c>
      <c r="I56" s="278">
        <f>'[4]cc2006-2010'!I310</f>
        <v>1.251541870943989</v>
      </c>
      <c r="J56" s="279"/>
    </row>
    <row r="57" spans="1:12" s="236" customFormat="1" ht="40.5" customHeight="1" hidden="1">
      <c r="A57" s="282" t="s">
        <v>42</v>
      </c>
      <c r="B57" s="283" t="s">
        <v>163</v>
      </c>
      <c r="C57" s="284" t="e">
        <f>'[4]cc2006-2010'!C311</f>
        <v>#REF!</v>
      </c>
      <c r="D57" s="285">
        <f>'[4]cc2006-2010'!D311</f>
        <v>943</v>
      </c>
      <c r="E57" s="285">
        <f>'[4]cc2006-2010'!E311</f>
        <v>889.56</v>
      </c>
      <c r="F57" s="285">
        <f>'[4]cc2006-2010'!F311</f>
        <v>477</v>
      </c>
      <c r="G57" s="285">
        <f>'[4]cc2006-2010'!G311</f>
        <v>191.2</v>
      </c>
      <c r="H57" s="286">
        <f>'[4]cc2006-2010'!H311</f>
        <v>482.2</v>
      </c>
      <c r="I57" s="287">
        <f>'[4]cc2006-2010'!I311</f>
        <v>494.5</v>
      </c>
      <c r="J57" s="245"/>
      <c r="L57" s="236">
        <f>247.4+3244.7</f>
        <v>3492.1</v>
      </c>
    </row>
    <row r="58" spans="1:10" ht="9.75" customHeight="1" hidden="1">
      <c r="A58" s="288"/>
      <c r="B58" s="289"/>
      <c r="C58" s="290"/>
      <c r="D58" s="291"/>
      <c r="E58" s="292"/>
      <c r="F58" s="292"/>
      <c r="G58" s="292"/>
      <c r="H58" s="293"/>
      <c r="I58" s="294"/>
      <c r="J58" s="256"/>
    </row>
    <row r="59" spans="1:10" s="236" customFormat="1" ht="22.5" customHeight="1" hidden="1">
      <c r="A59" s="238"/>
      <c r="B59" s="264" t="s">
        <v>162</v>
      </c>
      <c r="C59" s="240"/>
      <c r="D59" s="264"/>
      <c r="E59" s="242"/>
      <c r="F59" s="242"/>
      <c r="G59" s="242"/>
      <c r="H59" s="243"/>
      <c r="I59" s="244" t="e">
        <f>#REF!+#REF!</f>
        <v>#REF!</v>
      </c>
      <c r="J59" s="245"/>
    </row>
    <row r="60" spans="1:10" s="236" customFormat="1" ht="33.75" customHeight="1" hidden="1">
      <c r="A60" s="238" t="s">
        <v>161</v>
      </c>
      <c r="B60" s="264" t="s">
        <v>160</v>
      </c>
      <c r="C60" s="240"/>
      <c r="D60" s="264"/>
      <c r="E60" s="242">
        <f>+'[4]cc2007'!C244</f>
        <v>207</v>
      </c>
      <c r="F60" s="242"/>
      <c r="G60" s="242"/>
      <c r="H60" s="243"/>
      <c r="I60" s="244"/>
      <c r="J60" s="245"/>
    </row>
    <row r="61" spans="1:10" ht="9.75" customHeight="1">
      <c r="A61" s="295"/>
      <c r="B61" s="296"/>
      <c r="C61" s="297"/>
      <c r="D61" s="296"/>
      <c r="E61" s="298"/>
      <c r="F61" s="298"/>
      <c r="G61" s="298"/>
      <c r="H61" s="299"/>
      <c r="I61" s="300"/>
      <c r="J61" s="256"/>
    </row>
    <row r="62" ht="42" customHeight="1"/>
    <row r="63" spans="1:10" s="247" customFormat="1" ht="28.5" customHeight="1">
      <c r="A63" s="238"/>
      <c r="B63" s="264" t="s">
        <v>94</v>
      </c>
      <c r="C63" s="240" t="e">
        <f>+D63+E63+F63+G63+H63</f>
        <v>#REF!</v>
      </c>
      <c r="D63" s="242" t="e">
        <f>1000*('BM9'!#REF!+'BM9'!#REF!)</f>
        <v>#REF!</v>
      </c>
      <c r="E63" s="242" t="e">
        <f>1000*('BM9'!#REF!+'BM9'!#REF!)</f>
        <v>#REF!</v>
      </c>
      <c r="F63" s="242" t="e">
        <f>1000*('BM9'!#REF!+'BM9'!#REF!)</f>
        <v>#REF!</v>
      </c>
      <c r="G63" s="242" t="e">
        <f>1000*('BM9'!#REF!+'BM9'!#REF!)</f>
        <v>#REF!</v>
      </c>
      <c r="H63" s="242" t="e">
        <f>1000*('BM9'!#REF!+'BM9'!#REF!)</f>
        <v>#REF!</v>
      </c>
      <c r="I63" s="242"/>
      <c r="J63" s="245"/>
    </row>
    <row r="64" ht="15.75">
      <c r="A64" s="303"/>
    </row>
    <row r="65" spans="1:10" ht="15.75">
      <c r="A65" s="211"/>
      <c r="B65" s="304"/>
      <c r="C65" s="305"/>
      <c r="D65" s="304"/>
      <c r="E65" s="304"/>
      <c r="F65" s="306"/>
      <c r="G65" s="304"/>
      <c r="H65" s="307"/>
      <c r="I65" s="308"/>
      <c r="J65" s="308"/>
    </row>
  </sheetData>
  <sheetProtection/>
  <mergeCells count="3">
    <mergeCell ref="A1:H1"/>
    <mergeCell ref="A2:I2"/>
    <mergeCell ref="F4:I4"/>
  </mergeCells>
  <printOptions horizontalCentered="1"/>
  <pageMargins left="0.7086614173228347" right="0.7086614173228347" top="0.78" bottom="0.65" header="0.31496062992125984" footer="0.31496062992125984"/>
  <pageSetup fitToHeight="0" fitToWidth="1" horizontalDpi="1200" verticalDpi="1200" orientation="landscape" paperSize="9" r:id="rId1"/>
  <headerFooter alignWithMargins="0">
    <oddHeader>&amp;R&amp;P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249"/>
  <sheetViews>
    <sheetView zoomScale="70" zoomScaleNormal="70" zoomScalePageLayoutView="0" workbookViewId="0" topLeftCell="A1">
      <selection activeCell="A4" sqref="A4:P4"/>
    </sheetView>
  </sheetViews>
  <sheetFormatPr defaultColWidth="9.140625" defaultRowHeight="12.75"/>
  <cols>
    <col min="1" max="1" width="6.57421875" style="351" customWidth="1"/>
    <col min="2" max="2" width="45.00390625" style="347" customWidth="1"/>
    <col min="3" max="3" width="13.8515625" style="348" customWidth="1"/>
    <col min="4" max="4" width="13.8515625" style="348" hidden="1" customWidth="1"/>
    <col min="5" max="5" width="14.57421875" style="351" customWidth="1"/>
    <col min="6" max="10" width="12.8515625" style="331" customWidth="1"/>
    <col min="11" max="11" width="20.57421875" style="331" customWidth="1"/>
    <col min="12" max="12" width="4.57421875" style="331" customWidth="1"/>
    <col min="13" max="13" width="13.421875" style="331" customWidth="1"/>
    <col min="14" max="14" width="13.57421875" style="331" customWidth="1"/>
    <col min="15" max="15" width="9.140625" style="331" customWidth="1"/>
    <col min="16" max="16" width="13.8515625" style="331" customWidth="1"/>
    <col min="17" max="16384" width="9.140625" style="331" customWidth="1"/>
  </cols>
  <sheetData>
    <row r="1" spans="1:11" ht="36.75" customHeight="1">
      <c r="A1" s="331"/>
      <c r="E1" s="348"/>
      <c r="F1" s="348"/>
      <c r="I1" s="365" t="s">
        <v>702</v>
      </c>
      <c r="J1" s="1796" t="s">
        <v>704</v>
      </c>
      <c r="K1" s="1796"/>
    </row>
    <row r="2" spans="1:11" ht="36.75" customHeight="1">
      <c r="A2" s="331"/>
      <c r="B2" s="1764" t="s">
        <v>941</v>
      </c>
      <c r="C2" s="1764"/>
      <c r="D2" s="1764"/>
      <c r="E2" s="1764"/>
      <c r="F2" s="1764"/>
      <c r="G2" s="1764"/>
      <c r="H2" s="1764"/>
      <c r="I2" s="1764"/>
      <c r="J2" s="1764"/>
      <c r="K2" s="1764"/>
    </row>
    <row r="3" spans="1:11" ht="32.25" customHeight="1">
      <c r="A3" s="1765" t="s">
        <v>327</v>
      </c>
      <c r="B3" s="1765"/>
      <c r="C3" s="1765"/>
      <c r="D3" s="1765"/>
      <c r="E3" s="1765"/>
      <c r="F3" s="1765"/>
      <c r="G3" s="1765"/>
      <c r="H3" s="1765"/>
      <c r="I3" s="1765"/>
      <c r="J3" s="1765"/>
      <c r="K3" s="1765"/>
    </row>
    <row r="4" spans="1:11" ht="39" customHeight="1">
      <c r="A4" s="1800" t="s">
        <v>720</v>
      </c>
      <c r="B4" s="1765"/>
      <c r="C4" s="1765"/>
      <c r="D4" s="1765"/>
      <c r="E4" s="1765"/>
      <c r="F4" s="1765"/>
      <c r="G4" s="1765"/>
      <c r="H4" s="1765"/>
      <c r="I4" s="1765"/>
      <c r="J4" s="1765"/>
      <c r="K4" s="1765"/>
    </row>
    <row r="5" spans="1:11" ht="27.75" customHeight="1">
      <c r="A5" s="382"/>
      <c r="B5" s="395"/>
      <c r="C5" s="396"/>
      <c r="D5" s="396"/>
      <c r="E5" s="382"/>
      <c r="F5" s="397"/>
      <c r="G5" s="397"/>
      <c r="H5" s="397"/>
      <c r="I5" s="397"/>
      <c r="J5" s="397"/>
      <c r="K5" s="687"/>
    </row>
    <row r="6" spans="1:13" s="349" customFormat="1" ht="63" customHeight="1">
      <c r="A6" s="383" t="s">
        <v>0</v>
      </c>
      <c r="B6" s="383" t="s">
        <v>211</v>
      </c>
      <c r="C6" s="383" t="s">
        <v>104</v>
      </c>
      <c r="D6" s="383">
        <v>2015</v>
      </c>
      <c r="E6" s="383" t="s">
        <v>694</v>
      </c>
      <c r="F6" s="383" t="s">
        <v>695</v>
      </c>
      <c r="G6" s="383" t="s">
        <v>696</v>
      </c>
      <c r="H6" s="383" t="s">
        <v>697</v>
      </c>
      <c r="I6" s="383" t="s">
        <v>698</v>
      </c>
      <c r="J6" s="383" t="s">
        <v>699</v>
      </c>
      <c r="K6" s="383" t="s">
        <v>700</v>
      </c>
      <c r="M6" s="1066"/>
    </row>
    <row r="7" spans="1:11" s="329" customFormat="1" ht="31.5" customHeight="1">
      <c r="A7" s="421" t="s">
        <v>3</v>
      </c>
      <c r="B7" s="407" t="s">
        <v>282</v>
      </c>
      <c r="C7" s="407"/>
      <c r="D7" s="407">
        <v>82</v>
      </c>
      <c r="E7" s="695">
        <f>'[5]BM11R'!$K$7</f>
        <v>337.29</v>
      </c>
      <c r="F7" s="696">
        <f aca="true" t="shared" si="0" ref="F7:K7">F9</f>
        <v>65</v>
      </c>
      <c r="G7" s="696">
        <f t="shared" si="0"/>
        <v>68</v>
      </c>
      <c r="H7" s="696">
        <f t="shared" si="0"/>
        <v>71</v>
      </c>
      <c r="I7" s="696">
        <f t="shared" si="0"/>
        <v>74</v>
      </c>
      <c r="J7" s="696">
        <f t="shared" si="0"/>
        <v>76</v>
      </c>
      <c r="K7" s="696">
        <f t="shared" si="0"/>
        <v>70.8</v>
      </c>
    </row>
    <row r="8" spans="1:11" s="333" customFormat="1" ht="31.5" customHeight="1">
      <c r="A8" s="391"/>
      <c r="B8" s="390" t="s">
        <v>240</v>
      </c>
      <c r="C8" s="409" t="s">
        <v>6</v>
      </c>
      <c r="D8" s="409"/>
      <c r="E8" s="699">
        <f>'[5]BM11R'!$K$8</f>
        <v>13.484729416716124</v>
      </c>
      <c r="F8" s="700">
        <f>(F7/E7)*100-100</f>
        <v>-80.72874974057933</v>
      </c>
      <c r="G8" s="700">
        <f>(G7/F7)*100-100</f>
        <v>4.615384615384627</v>
      </c>
      <c r="H8" s="700">
        <f>(H7/G7)*100-100</f>
        <v>4.411764705882362</v>
      </c>
      <c r="I8" s="700">
        <f>(I7/H7)*100-100</f>
        <v>4.225352112676049</v>
      </c>
      <c r="J8" s="700">
        <f>(J7/I7)*100-100</f>
        <v>2.7027027027026946</v>
      </c>
      <c r="K8" s="701">
        <f>SUM(F8:J8)/5</f>
        <v>-12.95470912078672</v>
      </c>
    </row>
    <row r="9" spans="1:19" ht="33.75" customHeight="1">
      <c r="A9" s="389">
        <v>1</v>
      </c>
      <c r="B9" s="410" t="s">
        <v>278</v>
      </c>
      <c r="C9" s="409" t="s">
        <v>293</v>
      </c>
      <c r="D9" s="409">
        <v>82</v>
      </c>
      <c r="E9" s="703">
        <f>'[5]BM11R'!$K$9</f>
        <v>337.29</v>
      </c>
      <c r="F9" s="704">
        <v>65</v>
      </c>
      <c r="G9" s="703">
        <v>68</v>
      </c>
      <c r="H9" s="705">
        <v>71</v>
      </c>
      <c r="I9" s="703">
        <v>74</v>
      </c>
      <c r="J9" s="703">
        <v>76</v>
      </c>
      <c r="K9" s="703">
        <f>SUM(F9:J9)/5</f>
        <v>70.8</v>
      </c>
      <c r="L9" s="332"/>
      <c r="M9" s="333"/>
      <c r="N9" s="332"/>
      <c r="O9" s="332"/>
      <c r="P9" s="332"/>
      <c r="Q9" s="332"/>
      <c r="R9" s="332"/>
      <c r="S9" s="332"/>
    </row>
    <row r="10" spans="1:19" s="350" customFormat="1" ht="33.75" customHeight="1">
      <c r="A10" s="416"/>
      <c r="B10" s="417" t="s">
        <v>963</v>
      </c>
      <c r="C10" s="409" t="s">
        <v>293</v>
      </c>
      <c r="D10" s="418"/>
      <c r="E10" s="701">
        <v>23.312</v>
      </c>
      <c r="F10" s="700">
        <v>25</v>
      </c>
      <c r="G10" s="701">
        <v>27</v>
      </c>
      <c r="H10" s="702">
        <v>30</v>
      </c>
      <c r="I10" s="701">
        <v>33</v>
      </c>
      <c r="J10" s="701">
        <v>36</v>
      </c>
      <c r="K10" s="701">
        <f>SUM(F10:J10)/5</f>
        <v>30.2</v>
      </c>
      <c r="L10" s="364"/>
      <c r="M10" s="333"/>
      <c r="N10" s="364"/>
      <c r="O10" s="364"/>
      <c r="P10" s="364"/>
      <c r="Q10" s="364"/>
      <c r="R10" s="364"/>
      <c r="S10" s="364"/>
    </row>
    <row r="11" spans="1:19" s="350" customFormat="1" ht="37.5" customHeight="1">
      <c r="A11" s="416"/>
      <c r="B11" s="417" t="s">
        <v>335</v>
      </c>
      <c r="C11" s="418" t="s">
        <v>6</v>
      </c>
      <c r="D11" s="418"/>
      <c r="E11" s="710"/>
      <c r="F11" s="711">
        <v>100</v>
      </c>
      <c r="G11" s="710">
        <v>100</v>
      </c>
      <c r="H11" s="712">
        <v>100</v>
      </c>
      <c r="I11" s="710">
        <v>100</v>
      </c>
      <c r="J11" s="710">
        <v>100</v>
      </c>
      <c r="K11" s="701"/>
      <c r="L11" s="364"/>
      <c r="M11" s="333"/>
      <c r="N11" s="364"/>
      <c r="O11" s="364"/>
      <c r="P11" s="364"/>
      <c r="Q11" s="364"/>
      <c r="R11" s="364"/>
      <c r="S11" s="364"/>
    </row>
    <row r="12" spans="1:19" ht="39" customHeight="1">
      <c r="A12" s="389">
        <v>2</v>
      </c>
      <c r="B12" s="410" t="s">
        <v>279</v>
      </c>
      <c r="C12" s="409" t="s">
        <v>293</v>
      </c>
      <c r="D12" s="409"/>
      <c r="E12" s="706"/>
      <c r="F12" s="704"/>
      <c r="G12" s="703"/>
      <c r="H12" s="705"/>
      <c r="I12" s="703"/>
      <c r="J12" s="703"/>
      <c r="K12" s="707"/>
      <c r="L12" s="332"/>
      <c r="M12" s="332"/>
      <c r="N12" s="332"/>
      <c r="O12" s="332"/>
      <c r="P12" s="332"/>
      <c r="Q12" s="332"/>
      <c r="R12" s="332"/>
      <c r="S12" s="332"/>
    </row>
    <row r="13" spans="1:19" s="350" customFormat="1" ht="32.25" customHeight="1">
      <c r="A13" s="416"/>
      <c r="B13" s="417" t="s">
        <v>336</v>
      </c>
      <c r="C13" s="409" t="s">
        <v>6</v>
      </c>
      <c r="D13" s="409"/>
      <c r="E13" s="701"/>
      <c r="F13" s="700"/>
      <c r="G13" s="701"/>
      <c r="H13" s="702"/>
      <c r="I13" s="701"/>
      <c r="J13" s="701"/>
      <c r="K13" s="701"/>
      <c r="L13" s="364"/>
      <c r="M13" s="364"/>
      <c r="N13" s="364"/>
      <c r="O13" s="364"/>
      <c r="P13" s="364"/>
      <c r="Q13" s="364"/>
      <c r="R13" s="364"/>
      <c r="S13" s="364"/>
    </row>
    <row r="14" spans="1:19" ht="36" customHeight="1">
      <c r="A14" s="389">
        <v>3</v>
      </c>
      <c r="B14" s="410" t="s">
        <v>280</v>
      </c>
      <c r="C14" s="409" t="s">
        <v>293</v>
      </c>
      <c r="D14" s="409"/>
      <c r="E14" s="703"/>
      <c r="F14" s="704"/>
      <c r="G14" s="703"/>
      <c r="H14" s="705"/>
      <c r="I14" s="703"/>
      <c r="J14" s="703"/>
      <c r="K14" s="703"/>
      <c r="L14" s="332"/>
      <c r="M14" s="332"/>
      <c r="N14" s="332"/>
      <c r="O14" s="332"/>
      <c r="P14" s="332"/>
      <c r="Q14" s="332"/>
      <c r="R14" s="332"/>
      <c r="S14" s="332"/>
    </row>
    <row r="15" spans="1:19" s="350" customFormat="1" ht="37.5" customHeight="1">
      <c r="A15" s="416"/>
      <c r="B15" s="417" t="s">
        <v>337</v>
      </c>
      <c r="C15" s="409" t="s">
        <v>6</v>
      </c>
      <c r="D15" s="409"/>
      <c r="E15" s="701"/>
      <c r="F15" s="700"/>
      <c r="G15" s="701"/>
      <c r="H15" s="702"/>
      <c r="I15" s="701"/>
      <c r="J15" s="701"/>
      <c r="K15" s="701"/>
      <c r="L15" s="364"/>
      <c r="M15" s="364"/>
      <c r="N15" s="364"/>
      <c r="O15" s="364"/>
      <c r="P15" s="364"/>
      <c r="Q15" s="364"/>
      <c r="R15" s="364"/>
      <c r="S15" s="364"/>
    </row>
    <row r="16" spans="1:19" ht="37.5" customHeight="1">
      <c r="A16" s="389">
        <v>4</v>
      </c>
      <c r="B16" s="410" t="s">
        <v>281</v>
      </c>
      <c r="C16" s="409" t="s">
        <v>293</v>
      </c>
      <c r="D16" s="409"/>
      <c r="E16" s="703"/>
      <c r="F16" s="704"/>
      <c r="G16" s="703"/>
      <c r="H16" s="705"/>
      <c r="I16" s="703"/>
      <c r="J16" s="703"/>
      <c r="K16" s="707"/>
      <c r="L16" s="332"/>
      <c r="M16" s="332"/>
      <c r="N16" s="332"/>
      <c r="O16" s="332"/>
      <c r="P16" s="332"/>
      <c r="Q16" s="332"/>
      <c r="R16" s="332"/>
      <c r="S16" s="332"/>
    </row>
    <row r="17" spans="1:19" s="350" customFormat="1" ht="31.5" customHeight="1">
      <c r="A17" s="416"/>
      <c r="B17" s="390" t="s">
        <v>338</v>
      </c>
      <c r="C17" s="409" t="s">
        <v>6</v>
      </c>
      <c r="D17" s="409"/>
      <c r="E17" s="701"/>
      <c r="F17" s="700"/>
      <c r="G17" s="701"/>
      <c r="H17" s="702"/>
      <c r="I17" s="701"/>
      <c r="J17" s="701"/>
      <c r="K17" s="708"/>
      <c r="L17" s="364"/>
      <c r="M17" s="364"/>
      <c r="N17" s="364"/>
      <c r="O17" s="364"/>
      <c r="P17" s="364"/>
      <c r="Q17" s="364"/>
      <c r="R17" s="364"/>
      <c r="S17" s="364"/>
    </row>
    <row r="18" spans="1:12" s="329" customFormat="1" ht="29.25" customHeight="1">
      <c r="A18" s="386" t="s">
        <v>14</v>
      </c>
      <c r="B18" s="383" t="s">
        <v>283</v>
      </c>
      <c r="C18" s="383"/>
      <c r="D18" s="714">
        <f>'[5]BM11R'!$J$17</f>
        <v>389.423</v>
      </c>
      <c r="E18" s="709">
        <f>'[5]BM11R'!K17</f>
        <v>1647.948</v>
      </c>
      <c r="F18" s="696">
        <v>428</v>
      </c>
      <c r="G18" s="697">
        <v>470</v>
      </c>
      <c r="H18" s="698">
        <v>517</v>
      </c>
      <c r="I18" s="697">
        <v>568</v>
      </c>
      <c r="J18" s="697">
        <v>624</v>
      </c>
      <c r="K18" s="701">
        <f aca="true" t="shared" si="1" ref="K18:K24">SUM(F18:J18)/5</f>
        <v>521.4</v>
      </c>
      <c r="L18" s="330"/>
    </row>
    <row r="19" spans="1:12" ht="30" customHeight="1">
      <c r="A19" s="389"/>
      <c r="B19" s="434" t="s">
        <v>240</v>
      </c>
      <c r="C19" s="409" t="s">
        <v>6</v>
      </c>
      <c r="D19" s="409"/>
      <c r="E19" s="709">
        <f>'[5]BM11R'!K18</f>
        <v>18.506348464536806</v>
      </c>
      <c r="F19" s="704">
        <f>(F18/D18)*100-100</f>
        <v>9.906194549371762</v>
      </c>
      <c r="G19" s="704">
        <f>(G18/F18)*100-100</f>
        <v>9.81308411214954</v>
      </c>
      <c r="H19" s="704">
        <f>(H18/G18)*100-100</f>
        <v>10.000000000000014</v>
      </c>
      <c r="I19" s="704">
        <f>(I18/H18)*100-100</f>
        <v>9.86460348162477</v>
      </c>
      <c r="J19" s="704">
        <f>(J18/I18)*100-100</f>
        <v>9.859154929577471</v>
      </c>
      <c r="K19" s="701">
        <f t="shared" si="1"/>
        <v>9.888607414544712</v>
      </c>
      <c r="L19" s="332"/>
    </row>
    <row r="20" spans="1:11" s="350" customFormat="1" ht="36.75" customHeight="1">
      <c r="A20" s="389">
        <v>1</v>
      </c>
      <c r="B20" s="435" t="s">
        <v>342</v>
      </c>
      <c r="C20" s="409" t="s">
        <v>293</v>
      </c>
      <c r="D20" s="409"/>
      <c r="E20" s="709">
        <f>'[5]BM11R'!K19</f>
        <v>1416.101</v>
      </c>
      <c r="F20" s="708">
        <f>F18-F22</f>
        <v>343</v>
      </c>
      <c r="G20" s="708">
        <f>G18-G22</f>
        <v>375</v>
      </c>
      <c r="H20" s="708">
        <f>H18-H22</f>
        <v>412</v>
      </c>
      <c r="I20" s="708">
        <f>I18-I22</f>
        <v>453</v>
      </c>
      <c r="J20" s="708">
        <f>J18-J22</f>
        <v>494</v>
      </c>
      <c r="K20" s="701">
        <f t="shared" si="1"/>
        <v>415.4</v>
      </c>
    </row>
    <row r="21" spans="1:11" s="350" customFormat="1" ht="36.75" customHeight="1">
      <c r="A21" s="389"/>
      <c r="B21" s="417" t="s">
        <v>340</v>
      </c>
      <c r="C21" s="409" t="s">
        <v>6</v>
      </c>
      <c r="D21" s="409"/>
      <c r="E21" s="709">
        <f>'[5]BM11R'!K20</f>
        <v>85.9311701582817</v>
      </c>
      <c r="F21" s="708">
        <f>F20/F18*100</f>
        <v>80.14018691588785</v>
      </c>
      <c r="G21" s="708">
        <f>G20/G18*100</f>
        <v>79.7872340425532</v>
      </c>
      <c r="H21" s="708">
        <f>H20/H18*100</f>
        <v>79.69052224371373</v>
      </c>
      <c r="I21" s="708">
        <f>I20/I18*100</f>
        <v>79.75352112676056</v>
      </c>
      <c r="J21" s="708">
        <f>J20/J18*100</f>
        <v>79.16666666666666</v>
      </c>
      <c r="K21" s="701">
        <f t="shared" si="1"/>
        <v>79.7076261991164</v>
      </c>
    </row>
    <row r="22" spans="1:13" s="350" customFormat="1" ht="36.75" customHeight="1">
      <c r="A22" s="389">
        <v>2</v>
      </c>
      <c r="B22" s="410" t="s">
        <v>344</v>
      </c>
      <c r="C22" s="409" t="s">
        <v>293</v>
      </c>
      <c r="D22" s="409"/>
      <c r="E22" s="709">
        <f>'[5]BM11R'!K21</f>
        <v>231.847</v>
      </c>
      <c r="F22" s="708">
        <v>85</v>
      </c>
      <c r="G22" s="708">
        <v>95</v>
      </c>
      <c r="H22" s="708">
        <v>105</v>
      </c>
      <c r="I22" s="701">
        <v>115</v>
      </c>
      <c r="J22" s="701">
        <v>130</v>
      </c>
      <c r="K22" s="701">
        <f t="shared" si="1"/>
        <v>106</v>
      </c>
      <c r="M22" s="713"/>
    </row>
    <row r="23" spans="1:13" s="350" customFormat="1" ht="36.75" customHeight="1">
      <c r="A23" s="389"/>
      <c r="B23" s="417" t="s">
        <v>339</v>
      </c>
      <c r="C23" s="409" t="s">
        <v>6</v>
      </c>
      <c r="D23" s="409"/>
      <c r="E23" s="709">
        <f>'[5]BM11R'!K22</f>
        <v>14.068829841718305</v>
      </c>
      <c r="F23" s="708">
        <f>F22/F18*100</f>
        <v>19.859813084112147</v>
      </c>
      <c r="G23" s="708">
        <f>G22/G18*100</f>
        <v>20.212765957446805</v>
      </c>
      <c r="H23" s="708">
        <f>H22/H18*100</f>
        <v>20.309477756286267</v>
      </c>
      <c r="I23" s="708">
        <f>I22/I18*100</f>
        <v>20.246478873239436</v>
      </c>
      <c r="J23" s="708">
        <f>J22/J18*100</f>
        <v>20.833333333333336</v>
      </c>
      <c r="K23" s="701">
        <f t="shared" si="1"/>
        <v>20.2923738008836</v>
      </c>
      <c r="M23" s="715" t="e">
        <f>((#REF!/#REF!)^(1/2))*100-100</f>
        <v>#REF!</v>
      </c>
    </row>
    <row r="24" spans="1:11" s="350" customFormat="1" ht="36.75" customHeight="1">
      <c r="A24" s="389">
        <v>3</v>
      </c>
      <c r="B24" s="435" t="s">
        <v>343</v>
      </c>
      <c r="C24" s="409" t="s">
        <v>293</v>
      </c>
      <c r="D24" s="409"/>
      <c r="E24" s="701"/>
      <c r="F24" s="708"/>
      <c r="G24" s="708"/>
      <c r="H24" s="708"/>
      <c r="I24" s="701"/>
      <c r="J24" s="701"/>
      <c r="K24" s="701">
        <f t="shared" si="1"/>
        <v>0</v>
      </c>
    </row>
    <row r="25" spans="1:11" s="350" customFormat="1" ht="36.75" customHeight="1">
      <c r="A25" s="416"/>
      <c r="B25" s="417" t="s">
        <v>341</v>
      </c>
      <c r="C25" s="409" t="s">
        <v>6</v>
      </c>
      <c r="D25" s="409"/>
      <c r="E25" s="419"/>
      <c r="F25" s="432"/>
      <c r="G25" s="432"/>
      <c r="H25" s="432"/>
      <c r="I25" s="420"/>
      <c r="J25" s="420"/>
      <c r="K25" s="420"/>
    </row>
    <row r="26" spans="1:11" ht="26.25" customHeight="1">
      <c r="A26" s="382"/>
      <c r="B26" s="685"/>
      <c r="C26" s="396"/>
      <c r="D26" s="396"/>
      <c r="E26" s="685"/>
      <c r="F26" s="685"/>
      <c r="G26" s="685"/>
      <c r="H26" s="685"/>
      <c r="I26" s="685"/>
      <c r="J26" s="685"/>
      <c r="K26" s="685"/>
    </row>
    <row r="27" spans="1:11" ht="16.5">
      <c r="A27" s="382"/>
      <c r="B27" s="1770"/>
      <c r="C27" s="1770"/>
      <c r="D27" s="1770"/>
      <c r="E27" s="1770"/>
      <c r="F27" s="397"/>
      <c r="G27" s="397"/>
      <c r="H27" s="397"/>
      <c r="I27" s="397"/>
      <c r="J27" s="397"/>
      <c r="K27" s="397"/>
    </row>
    <row r="28" spans="1:11" ht="16.5">
      <c r="A28" s="382"/>
      <c r="B28" s="395"/>
      <c r="C28" s="396"/>
      <c r="D28" s="396"/>
      <c r="E28" s="382"/>
      <c r="F28" s="397"/>
      <c r="G28" s="397"/>
      <c r="H28" s="397"/>
      <c r="I28" s="397"/>
      <c r="J28" s="397"/>
      <c r="K28" s="397"/>
    </row>
    <row r="29" spans="1:11" ht="16.5">
      <c r="A29" s="382"/>
      <c r="B29" s="395"/>
      <c r="C29" s="396"/>
      <c r="D29" s="396"/>
      <c r="E29" s="382"/>
      <c r="F29" s="397"/>
      <c r="G29" s="397"/>
      <c r="H29" s="397"/>
      <c r="I29" s="397"/>
      <c r="J29" s="397"/>
      <c r="K29" s="397"/>
    </row>
    <row r="30" spans="1:11" ht="16.5">
      <c r="A30" s="382"/>
      <c r="B30" s="395"/>
      <c r="C30" s="396"/>
      <c r="D30" s="396"/>
      <c r="E30" s="382"/>
      <c r="F30" s="397"/>
      <c r="G30" s="397"/>
      <c r="H30" s="397"/>
      <c r="I30" s="397"/>
      <c r="J30" s="397"/>
      <c r="K30" s="397"/>
    </row>
    <row r="31" spans="1:11" ht="16.5">
      <c r="A31" s="382"/>
      <c r="B31" s="395"/>
      <c r="C31" s="396"/>
      <c r="D31" s="396"/>
      <c r="E31" s="382"/>
      <c r="F31" s="397"/>
      <c r="G31" s="397"/>
      <c r="H31" s="397"/>
      <c r="I31" s="397"/>
      <c r="J31" s="397"/>
      <c r="K31" s="397"/>
    </row>
    <row r="32" spans="1:11" ht="16.5">
      <c r="A32" s="382"/>
      <c r="B32" s="395"/>
      <c r="C32" s="396"/>
      <c r="D32" s="396"/>
      <c r="E32" s="382"/>
      <c r="F32" s="397"/>
      <c r="G32" s="397"/>
      <c r="H32" s="397"/>
      <c r="I32" s="397"/>
      <c r="J32" s="397"/>
      <c r="K32" s="397"/>
    </row>
    <row r="33" spans="1:11" ht="16.5">
      <c r="A33" s="382"/>
      <c r="B33" s="395"/>
      <c r="C33" s="396"/>
      <c r="D33" s="396"/>
      <c r="E33" s="382"/>
      <c r="F33" s="397"/>
      <c r="G33" s="397"/>
      <c r="H33" s="397"/>
      <c r="I33" s="397"/>
      <c r="J33" s="397"/>
      <c r="K33" s="397"/>
    </row>
    <row r="34" spans="1:11" ht="16.5">
      <c r="A34" s="382"/>
      <c r="B34" s="395"/>
      <c r="C34" s="396"/>
      <c r="D34" s="396"/>
      <c r="E34" s="382"/>
      <c r="F34" s="397"/>
      <c r="G34" s="397"/>
      <c r="H34" s="397"/>
      <c r="I34" s="397"/>
      <c r="J34" s="397"/>
      <c r="K34" s="397"/>
    </row>
    <row r="35" spans="1:11" ht="16.5">
      <c r="A35" s="382"/>
      <c r="B35" s="395"/>
      <c r="C35" s="396"/>
      <c r="D35" s="396"/>
      <c r="E35" s="382"/>
      <c r="F35" s="397"/>
      <c r="G35" s="397"/>
      <c r="H35" s="397"/>
      <c r="I35" s="397"/>
      <c r="J35" s="397"/>
      <c r="K35" s="397"/>
    </row>
    <row r="36" spans="1:11" ht="16.5">
      <c r="A36" s="382"/>
      <c r="B36" s="395"/>
      <c r="C36" s="396"/>
      <c r="D36" s="396"/>
      <c r="E36" s="382"/>
      <c r="F36" s="397"/>
      <c r="G36" s="397"/>
      <c r="H36" s="397"/>
      <c r="I36" s="397"/>
      <c r="J36" s="397"/>
      <c r="K36" s="397"/>
    </row>
    <row r="37" spans="1:11" ht="16.5">
      <c r="A37" s="382"/>
      <c r="B37" s="395"/>
      <c r="C37" s="396"/>
      <c r="D37" s="396"/>
      <c r="E37" s="382"/>
      <c r="F37" s="397"/>
      <c r="G37" s="397"/>
      <c r="H37" s="397"/>
      <c r="I37" s="397"/>
      <c r="J37" s="397"/>
      <c r="K37" s="397"/>
    </row>
    <row r="38" spans="1:11" ht="16.5">
      <c r="A38" s="382"/>
      <c r="B38" s="395"/>
      <c r="C38" s="396"/>
      <c r="D38" s="396"/>
      <c r="E38" s="382"/>
      <c r="F38" s="397"/>
      <c r="G38" s="397"/>
      <c r="H38" s="397"/>
      <c r="I38" s="397"/>
      <c r="J38" s="397"/>
      <c r="K38" s="397"/>
    </row>
    <row r="39" spans="1:11" ht="16.5">
      <c r="A39" s="382"/>
      <c r="B39" s="395"/>
      <c r="C39" s="396"/>
      <c r="D39" s="396"/>
      <c r="E39" s="382"/>
      <c r="F39" s="397"/>
      <c r="G39" s="397"/>
      <c r="H39" s="397"/>
      <c r="I39" s="397"/>
      <c r="J39" s="397"/>
      <c r="K39" s="397"/>
    </row>
    <row r="40" spans="1:11" ht="16.5">
      <c r="A40" s="382"/>
      <c r="B40" s="395"/>
      <c r="C40" s="396"/>
      <c r="D40" s="396"/>
      <c r="E40" s="382"/>
      <c r="F40" s="397"/>
      <c r="G40" s="397"/>
      <c r="H40" s="397"/>
      <c r="I40" s="397"/>
      <c r="J40" s="397"/>
      <c r="K40" s="397"/>
    </row>
    <row r="41" spans="1:11" ht="16.5">
      <c r="A41" s="382"/>
      <c r="B41" s="395"/>
      <c r="C41" s="396"/>
      <c r="D41" s="396"/>
      <c r="E41" s="382"/>
      <c r="F41" s="397"/>
      <c r="G41" s="397"/>
      <c r="H41" s="397"/>
      <c r="I41" s="397"/>
      <c r="J41" s="397"/>
      <c r="K41" s="397"/>
    </row>
    <row r="42" spans="1:11" ht="16.5">
      <c r="A42" s="382"/>
      <c r="B42" s="395"/>
      <c r="C42" s="396"/>
      <c r="D42" s="396"/>
      <c r="E42" s="382"/>
      <c r="F42" s="397"/>
      <c r="G42" s="397"/>
      <c r="H42" s="397"/>
      <c r="I42" s="397"/>
      <c r="J42" s="397"/>
      <c r="K42" s="397"/>
    </row>
    <row r="43" spans="1:11" ht="16.5">
      <c r="A43" s="382"/>
      <c r="B43" s="395"/>
      <c r="C43" s="396"/>
      <c r="D43" s="396"/>
      <c r="E43" s="382"/>
      <c r="F43" s="397"/>
      <c r="G43" s="397"/>
      <c r="H43" s="397"/>
      <c r="I43" s="397"/>
      <c r="J43" s="397"/>
      <c r="K43" s="397"/>
    </row>
    <row r="44" spans="1:11" ht="16.5">
      <c r="A44" s="382"/>
      <c r="B44" s="395"/>
      <c r="C44" s="396"/>
      <c r="D44" s="396"/>
      <c r="E44" s="382"/>
      <c r="F44" s="397"/>
      <c r="G44" s="397"/>
      <c r="H44" s="397"/>
      <c r="I44" s="397"/>
      <c r="J44" s="397"/>
      <c r="K44" s="397"/>
    </row>
    <row r="45" spans="1:11" ht="16.5">
      <c r="A45" s="382"/>
      <c r="B45" s="395"/>
      <c r="C45" s="396"/>
      <c r="D45" s="396"/>
      <c r="E45" s="382"/>
      <c r="F45" s="397"/>
      <c r="G45" s="397"/>
      <c r="H45" s="397"/>
      <c r="I45" s="397"/>
      <c r="J45" s="397"/>
      <c r="K45" s="397"/>
    </row>
    <row r="46" spans="1:11" ht="16.5">
      <c r="A46" s="382"/>
      <c r="B46" s="395"/>
      <c r="C46" s="396"/>
      <c r="D46" s="396"/>
      <c r="E46" s="382"/>
      <c r="F46" s="397"/>
      <c r="G46" s="397"/>
      <c r="H46" s="397"/>
      <c r="I46" s="397"/>
      <c r="J46" s="397"/>
      <c r="K46" s="397"/>
    </row>
    <row r="47" spans="1:11" ht="16.5">
      <c r="A47" s="382"/>
      <c r="B47" s="395"/>
      <c r="C47" s="396"/>
      <c r="D47" s="396"/>
      <c r="E47" s="382"/>
      <c r="F47" s="397"/>
      <c r="G47" s="397"/>
      <c r="H47" s="397"/>
      <c r="I47" s="397"/>
      <c r="J47" s="397"/>
      <c r="K47" s="397"/>
    </row>
    <row r="48" spans="1:11" ht="16.5">
      <c r="A48" s="382"/>
      <c r="B48" s="395"/>
      <c r="C48" s="396"/>
      <c r="D48" s="396"/>
      <c r="E48" s="382"/>
      <c r="F48" s="397"/>
      <c r="G48" s="397"/>
      <c r="H48" s="397"/>
      <c r="I48" s="397"/>
      <c r="J48" s="397"/>
      <c r="K48" s="397"/>
    </row>
    <row r="49" spans="1:11" ht="16.5">
      <c r="A49" s="382"/>
      <c r="B49" s="395"/>
      <c r="C49" s="396"/>
      <c r="D49" s="396"/>
      <c r="E49" s="382"/>
      <c r="F49" s="397"/>
      <c r="G49" s="397"/>
      <c r="H49" s="397"/>
      <c r="I49" s="397"/>
      <c r="J49" s="397"/>
      <c r="K49" s="397"/>
    </row>
    <row r="50" spans="1:11" ht="16.5">
      <c r="A50" s="382"/>
      <c r="B50" s="395"/>
      <c r="C50" s="396"/>
      <c r="D50" s="396"/>
      <c r="E50" s="382"/>
      <c r="F50" s="397"/>
      <c r="G50" s="397"/>
      <c r="H50" s="397"/>
      <c r="I50" s="397"/>
      <c r="J50" s="397"/>
      <c r="K50" s="397"/>
    </row>
    <row r="51" spans="1:11" ht="16.5">
      <c r="A51" s="382"/>
      <c r="B51" s="395"/>
      <c r="C51" s="396"/>
      <c r="D51" s="396"/>
      <c r="E51" s="382"/>
      <c r="F51" s="397"/>
      <c r="G51" s="397"/>
      <c r="H51" s="397"/>
      <c r="I51" s="397"/>
      <c r="J51" s="397"/>
      <c r="K51" s="397"/>
    </row>
    <row r="52" spans="1:11" ht="16.5">
      <c r="A52" s="382"/>
      <c r="B52" s="395"/>
      <c r="C52" s="396"/>
      <c r="D52" s="396"/>
      <c r="E52" s="382"/>
      <c r="F52" s="397"/>
      <c r="G52" s="397"/>
      <c r="H52" s="397"/>
      <c r="I52" s="397"/>
      <c r="J52" s="397"/>
      <c r="K52" s="397"/>
    </row>
    <row r="53" spans="1:11" ht="16.5">
      <c r="A53" s="382"/>
      <c r="B53" s="395"/>
      <c r="C53" s="396"/>
      <c r="D53" s="396"/>
      <c r="E53" s="382"/>
      <c r="F53" s="397"/>
      <c r="G53" s="397"/>
      <c r="H53" s="397"/>
      <c r="I53" s="397"/>
      <c r="J53" s="397"/>
      <c r="K53" s="397"/>
    </row>
    <row r="54" spans="1:11" ht="16.5">
      <c r="A54" s="382"/>
      <c r="B54" s="395"/>
      <c r="C54" s="396"/>
      <c r="D54" s="396"/>
      <c r="E54" s="382"/>
      <c r="F54" s="397"/>
      <c r="G54" s="397"/>
      <c r="H54" s="397"/>
      <c r="I54" s="397"/>
      <c r="J54" s="397"/>
      <c r="K54" s="397"/>
    </row>
    <row r="55" spans="1:11" ht="16.5">
      <c r="A55" s="382"/>
      <c r="B55" s="395"/>
      <c r="C55" s="396"/>
      <c r="D55" s="396"/>
      <c r="E55" s="382"/>
      <c r="F55" s="397"/>
      <c r="G55" s="397"/>
      <c r="H55" s="397"/>
      <c r="I55" s="397"/>
      <c r="J55" s="397"/>
      <c r="K55" s="397"/>
    </row>
    <row r="56" spans="1:11" ht="16.5">
      <c r="A56" s="382"/>
      <c r="B56" s="395"/>
      <c r="C56" s="396"/>
      <c r="D56" s="396"/>
      <c r="E56" s="382"/>
      <c r="F56" s="397"/>
      <c r="G56" s="397"/>
      <c r="H56" s="397"/>
      <c r="I56" s="397"/>
      <c r="J56" s="397"/>
      <c r="K56" s="397"/>
    </row>
    <row r="57" spans="1:11" ht="16.5">
      <c r="A57" s="382"/>
      <c r="B57" s="395"/>
      <c r="C57" s="396"/>
      <c r="D57" s="396"/>
      <c r="E57" s="382"/>
      <c r="F57" s="397"/>
      <c r="G57" s="397"/>
      <c r="H57" s="397"/>
      <c r="I57" s="397"/>
      <c r="J57" s="397"/>
      <c r="K57" s="397"/>
    </row>
    <row r="58" spans="1:11" ht="12.75" customHeight="1">
      <c r="A58" s="436"/>
      <c r="B58" s="437"/>
      <c r="C58" s="438"/>
      <c r="D58" s="438"/>
      <c r="E58" s="436"/>
      <c r="F58" s="439"/>
      <c r="G58" s="439"/>
      <c r="H58" s="439"/>
      <c r="I58" s="439"/>
      <c r="J58" s="439"/>
      <c r="K58" s="439"/>
    </row>
    <row r="59" spans="1:11" s="333" customFormat="1" ht="63.75" customHeight="1">
      <c r="A59" s="440"/>
      <c r="B59" s="441" t="s">
        <v>198</v>
      </c>
      <c r="C59" s="442"/>
      <c r="D59" s="442"/>
      <c r="E59" s="440"/>
      <c r="F59" s="443"/>
      <c r="G59" s="443"/>
      <c r="H59" s="443"/>
      <c r="I59" s="444" t="e">
        <f>+I58/#REF!*100</f>
        <v>#REF!</v>
      </c>
      <c r="J59" s="444" t="e">
        <f>+J58/#REF!*100</f>
        <v>#REF!</v>
      </c>
      <c r="K59" s="444"/>
    </row>
    <row r="60" spans="1:11" s="334" customFormat="1" ht="38.25" customHeight="1">
      <c r="A60" s="382"/>
      <c r="B60" s="395"/>
      <c r="C60" s="396"/>
      <c r="D60" s="396"/>
      <c r="E60" s="382"/>
      <c r="F60" s="397"/>
      <c r="G60" s="397"/>
      <c r="H60" s="397"/>
      <c r="I60" s="397"/>
      <c r="J60" s="397"/>
      <c r="K60" s="397"/>
    </row>
    <row r="61" spans="1:11" s="334" customFormat="1" ht="38.25" customHeight="1">
      <c r="A61" s="382"/>
      <c r="B61" s="395"/>
      <c r="C61" s="396"/>
      <c r="D61" s="396"/>
      <c r="E61" s="382"/>
      <c r="F61" s="397"/>
      <c r="G61" s="397"/>
      <c r="H61" s="397"/>
      <c r="I61" s="397"/>
      <c r="J61" s="397"/>
      <c r="K61" s="397"/>
    </row>
    <row r="62" spans="1:11" s="334" customFormat="1" ht="38.25" customHeight="1">
      <c r="A62" s="382"/>
      <c r="B62" s="395"/>
      <c r="C62" s="396"/>
      <c r="D62" s="396"/>
      <c r="E62" s="382"/>
      <c r="F62" s="397"/>
      <c r="G62" s="397"/>
      <c r="H62" s="397"/>
      <c r="I62" s="397"/>
      <c r="J62" s="397"/>
      <c r="K62" s="397"/>
    </row>
    <row r="63" spans="1:11" s="334" customFormat="1" ht="38.25" customHeight="1">
      <c r="A63" s="382"/>
      <c r="B63" s="395"/>
      <c r="C63" s="396"/>
      <c r="D63" s="396"/>
      <c r="E63" s="382"/>
      <c r="F63" s="397"/>
      <c r="G63" s="397"/>
      <c r="H63" s="397"/>
      <c r="I63" s="397"/>
      <c r="J63" s="397"/>
      <c r="K63" s="397"/>
    </row>
    <row r="64" spans="1:11" ht="38.25" customHeight="1">
      <c r="A64" s="382"/>
      <c r="B64" s="395"/>
      <c r="C64" s="396"/>
      <c r="D64" s="396"/>
      <c r="E64" s="382"/>
      <c r="F64" s="397"/>
      <c r="G64" s="397"/>
      <c r="H64" s="397"/>
      <c r="I64" s="397"/>
      <c r="J64" s="397"/>
      <c r="K64" s="397"/>
    </row>
    <row r="65" spans="1:11" ht="38.25" customHeight="1">
      <c r="A65" s="382"/>
      <c r="B65" s="395"/>
      <c r="C65" s="396"/>
      <c r="D65" s="396"/>
      <c r="E65" s="382"/>
      <c r="F65" s="397"/>
      <c r="G65" s="397"/>
      <c r="H65" s="397"/>
      <c r="I65" s="397"/>
      <c r="J65" s="397"/>
      <c r="K65" s="397"/>
    </row>
    <row r="66" spans="1:11" ht="16.5">
      <c r="A66" s="382"/>
      <c r="B66" s="395"/>
      <c r="C66" s="396"/>
      <c r="D66" s="396"/>
      <c r="E66" s="382"/>
      <c r="F66" s="397"/>
      <c r="G66" s="397"/>
      <c r="H66" s="397"/>
      <c r="I66" s="397"/>
      <c r="J66" s="397"/>
      <c r="K66" s="397"/>
    </row>
    <row r="67" spans="1:11" ht="16.5">
      <c r="A67" s="382"/>
      <c r="B67" s="395"/>
      <c r="C67" s="396"/>
      <c r="D67" s="396"/>
      <c r="E67" s="382"/>
      <c r="F67" s="397"/>
      <c r="G67" s="397"/>
      <c r="H67" s="397"/>
      <c r="I67" s="397"/>
      <c r="J67" s="397"/>
      <c r="K67" s="397"/>
    </row>
    <row r="68" spans="1:11" ht="16.5">
      <c r="A68" s="382"/>
      <c r="B68" s="395"/>
      <c r="C68" s="396"/>
      <c r="D68" s="396"/>
      <c r="E68" s="382"/>
      <c r="F68" s="397"/>
      <c r="G68" s="397"/>
      <c r="H68" s="397"/>
      <c r="I68" s="397"/>
      <c r="J68" s="397"/>
      <c r="K68" s="397"/>
    </row>
    <row r="69" spans="1:11" ht="16.5">
      <c r="A69" s="382"/>
      <c r="B69" s="395"/>
      <c r="C69" s="396"/>
      <c r="D69" s="396"/>
      <c r="E69" s="382"/>
      <c r="F69" s="397"/>
      <c r="G69" s="397"/>
      <c r="H69" s="397"/>
      <c r="I69" s="397"/>
      <c r="J69" s="397"/>
      <c r="K69" s="397"/>
    </row>
    <row r="70" spans="1:11" ht="16.5">
      <c r="A70" s="382"/>
      <c r="B70" s="395"/>
      <c r="C70" s="396"/>
      <c r="D70" s="396"/>
      <c r="E70" s="382"/>
      <c r="F70" s="397"/>
      <c r="G70" s="397"/>
      <c r="H70" s="397"/>
      <c r="I70" s="397"/>
      <c r="J70" s="397"/>
      <c r="K70" s="397"/>
    </row>
    <row r="71" spans="1:11" ht="16.5">
      <c r="A71" s="382"/>
      <c r="B71" s="395"/>
      <c r="C71" s="396"/>
      <c r="D71" s="396"/>
      <c r="E71" s="382"/>
      <c r="F71" s="397"/>
      <c r="G71" s="397"/>
      <c r="H71" s="397"/>
      <c r="I71" s="397"/>
      <c r="J71" s="397"/>
      <c r="K71" s="397"/>
    </row>
    <row r="72" spans="1:11" ht="16.5">
      <c r="A72" s="382"/>
      <c r="B72" s="395"/>
      <c r="C72" s="396"/>
      <c r="D72" s="396"/>
      <c r="E72" s="382"/>
      <c r="F72" s="397"/>
      <c r="G72" s="397"/>
      <c r="H72" s="397"/>
      <c r="I72" s="397"/>
      <c r="J72" s="397"/>
      <c r="K72" s="397"/>
    </row>
    <row r="73" spans="1:11" ht="16.5">
      <c r="A73" s="382"/>
      <c r="B73" s="395"/>
      <c r="C73" s="396"/>
      <c r="D73" s="396"/>
      <c r="E73" s="382"/>
      <c r="F73" s="397"/>
      <c r="G73" s="397"/>
      <c r="H73" s="397"/>
      <c r="I73" s="397"/>
      <c r="J73" s="397"/>
      <c r="K73" s="397"/>
    </row>
    <row r="74" spans="1:11" ht="16.5">
      <c r="A74" s="382"/>
      <c r="B74" s="395"/>
      <c r="C74" s="396"/>
      <c r="D74" s="396"/>
      <c r="E74" s="382"/>
      <c r="F74" s="397"/>
      <c r="G74" s="397"/>
      <c r="H74" s="397"/>
      <c r="I74" s="397"/>
      <c r="J74" s="397"/>
      <c r="K74" s="397"/>
    </row>
    <row r="75" spans="1:11" ht="16.5">
      <c r="A75" s="382"/>
      <c r="B75" s="395"/>
      <c r="C75" s="396"/>
      <c r="D75" s="396"/>
      <c r="E75" s="382"/>
      <c r="F75" s="397"/>
      <c r="G75" s="397"/>
      <c r="H75" s="397"/>
      <c r="I75" s="397"/>
      <c r="J75" s="397"/>
      <c r="K75" s="397"/>
    </row>
    <row r="76" spans="1:11" ht="16.5">
      <c r="A76" s="382"/>
      <c r="B76" s="395"/>
      <c r="C76" s="396"/>
      <c r="D76" s="396"/>
      <c r="E76" s="382"/>
      <c r="F76" s="397"/>
      <c r="G76" s="397"/>
      <c r="H76" s="397"/>
      <c r="I76" s="397"/>
      <c r="J76" s="397"/>
      <c r="K76" s="397"/>
    </row>
    <row r="77" spans="1:11" ht="16.5">
      <c r="A77" s="382"/>
      <c r="B77" s="395"/>
      <c r="C77" s="396"/>
      <c r="D77" s="396"/>
      <c r="E77" s="382"/>
      <c r="F77" s="397"/>
      <c r="G77" s="397"/>
      <c r="H77" s="397"/>
      <c r="I77" s="397"/>
      <c r="J77" s="397"/>
      <c r="K77" s="397"/>
    </row>
    <row r="78" spans="1:11" ht="16.5">
      <c r="A78" s="382"/>
      <c r="B78" s="395"/>
      <c r="C78" s="396"/>
      <c r="D78" s="396"/>
      <c r="E78" s="382"/>
      <c r="F78" s="397"/>
      <c r="G78" s="397"/>
      <c r="H78" s="397"/>
      <c r="I78" s="397"/>
      <c r="J78" s="397"/>
      <c r="K78" s="397"/>
    </row>
    <row r="79" spans="1:11" ht="16.5">
      <c r="A79" s="382"/>
      <c r="B79" s="395"/>
      <c r="C79" s="396"/>
      <c r="D79" s="396"/>
      <c r="E79" s="382"/>
      <c r="F79" s="397"/>
      <c r="G79" s="397"/>
      <c r="H79" s="397"/>
      <c r="I79" s="397"/>
      <c r="J79" s="397"/>
      <c r="K79" s="397"/>
    </row>
    <row r="80" spans="1:11" ht="16.5">
      <c r="A80" s="382"/>
      <c r="B80" s="395"/>
      <c r="C80" s="396"/>
      <c r="D80" s="396"/>
      <c r="E80" s="382"/>
      <c r="F80" s="397"/>
      <c r="G80" s="397"/>
      <c r="H80" s="397"/>
      <c r="I80" s="397"/>
      <c r="J80" s="397"/>
      <c r="K80" s="397"/>
    </row>
    <row r="81" spans="1:11" ht="16.5">
      <c r="A81" s="382"/>
      <c r="B81" s="395"/>
      <c r="C81" s="396"/>
      <c r="D81" s="396"/>
      <c r="E81" s="382"/>
      <c r="F81" s="397"/>
      <c r="G81" s="397"/>
      <c r="H81" s="397"/>
      <c r="I81" s="397"/>
      <c r="J81" s="397"/>
      <c r="K81" s="397"/>
    </row>
    <row r="82" spans="1:11" ht="16.5">
      <c r="A82" s="382"/>
      <c r="B82" s="395"/>
      <c r="C82" s="396"/>
      <c r="D82" s="396"/>
      <c r="E82" s="382"/>
      <c r="F82" s="397"/>
      <c r="G82" s="397"/>
      <c r="H82" s="397"/>
      <c r="I82" s="397"/>
      <c r="J82" s="397"/>
      <c r="K82" s="397"/>
    </row>
    <row r="83" spans="1:11" ht="16.5">
      <c r="A83" s="382"/>
      <c r="B83" s="395"/>
      <c r="C83" s="396"/>
      <c r="D83" s="396"/>
      <c r="E83" s="382"/>
      <c r="F83" s="397"/>
      <c r="G83" s="397"/>
      <c r="H83" s="397"/>
      <c r="I83" s="397"/>
      <c r="J83" s="397"/>
      <c r="K83" s="397"/>
    </row>
    <row r="84" spans="1:11" ht="16.5">
      <c r="A84" s="382"/>
      <c r="B84" s="395"/>
      <c r="C84" s="396"/>
      <c r="D84" s="396"/>
      <c r="E84" s="382"/>
      <c r="F84" s="397"/>
      <c r="G84" s="397"/>
      <c r="H84" s="397"/>
      <c r="I84" s="397"/>
      <c r="J84" s="397"/>
      <c r="K84" s="397"/>
    </row>
    <row r="85" spans="1:11" ht="16.5">
      <c r="A85" s="382"/>
      <c r="B85" s="395"/>
      <c r="C85" s="396"/>
      <c r="D85" s="396"/>
      <c r="E85" s="382"/>
      <c r="F85" s="397"/>
      <c r="G85" s="397"/>
      <c r="H85" s="397"/>
      <c r="I85" s="397"/>
      <c r="J85" s="397"/>
      <c r="K85" s="397"/>
    </row>
    <row r="86" spans="1:11" ht="16.5">
      <c r="A86" s="382"/>
      <c r="B86" s="395"/>
      <c r="C86" s="396"/>
      <c r="D86" s="396"/>
      <c r="E86" s="382"/>
      <c r="F86" s="397"/>
      <c r="G86" s="397"/>
      <c r="H86" s="397"/>
      <c r="I86" s="397"/>
      <c r="J86" s="397"/>
      <c r="K86" s="397"/>
    </row>
    <row r="87" spans="1:11" ht="16.5">
      <c r="A87" s="382"/>
      <c r="B87" s="395"/>
      <c r="C87" s="396"/>
      <c r="D87" s="396"/>
      <c r="E87" s="382"/>
      <c r="F87" s="397"/>
      <c r="G87" s="397"/>
      <c r="H87" s="397"/>
      <c r="I87" s="397"/>
      <c r="J87" s="397"/>
      <c r="K87" s="397"/>
    </row>
    <row r="88" spans="1:11" ht="16.5">
      <c r="A88" s="382"/>
      <c r="B88" s="395"/>
      <c r="C88" s="396"/>
      <c r="D88" s="396"/>
      <c r="E88" s="382"/>
      <c r="F88" s="397"/>
      <c r="G88" s="397"/>
      <c r="H88" s="397"/>
      <c r="I88" s="397"/>
      <c r="J88" s="397"/>
      <c r="K88" s="397"/>
    </row>
    <row r="89" spans="1:11" ht="16.5">
      <c r="A89" s="382"/>
      <c r="B89" s="395"/>
      <c r="C89" s="396"/>
      <c r="D89" s="396"/>
      <c r="E89" s="382"/>
      <c r="F89" s="397"/>
      <c r="G89" s="397"/>
      <c r="H89" s="397"/>
      <c r="I89" s="397"/>
      <c r="J89" s="397"/>
      <c r="K89" s="397"/>
    </row>
    <row r="90" spans="1:11" ht="16.5">
      <c r="A90" s="382"/>
      <c r="B90" s="395"/>
      <c r="C90" s="396"/>
      <c r="D90" s="396"/>
      <c r="E90" s="382"/>
      <c r="F90" s="397"/>
      <c r="G90" s="397"/>
      <c r="H90" s="397"/>
      <c r="I90" s="397"/>
      <c r="J90" s="397"/>
      <c r="K90" s="397"/>
    </row>
    <row r="91" spans="1:11" ht="16.5">
      <c r="A91" s="382"/>
      <c r="B91" s="395"/>
      <c r="C91" s="396"/>
      <c r="D91" s="396"/>
      <c r="E91" s="382"/>
      <c r="F91" s="397"/>
      <c r="G91" s="397"/>
      <c r="H91" s="397"/>
      <c r="I91" s="397"/>
      <c r="J91" s="397"/>
      <c r="K91" s="397"/>
    </row>
    <row r="92" spans="1:11" ht="16.5">
      <c r="A92" s="382"/>
      <c r="B92" s="395"/>
      <c r="C92" s="396"/>
      <c r="D92" s="396"/>
      <c r="E92" s="382"/>
      <c r="F92" s="397"/>
      <c r="G92" s="397"/>
      <c r="H92" s="397"/>
      <c r="I92" s="397"/>
      <c r="J92" s="397"/>
      <c r="K92" s="397"/>
    </row>
    <row r="93" spans="1:11" ht="16.5">
      <c r="A93" s="382"/>
      <c r="B93" s="395"/>
      <c r="C93" s="396"/>
      <c r="D93" s="396"/>
      <c r="E93" s="382"/>
      <c r="F93" s="397"/>
      <c r="G93" s="397"/>
      <c r="H93" s="397"/>
      <c r="I93" s="397"/>
      <c r="J93" s="397"/>
      <c r="K93" s="397"/>
    </row>
    <row r="94" spans="1:11" ht="16.5">
      <c r="A94" s="382"/>
      <c r="B94" s="395"/>
      <c r="C94" s="396"/>
      <c r="D94" s="396"/>
      <c r="E94" s="382"/>
      <c r="F94" s="397"/>
      <c r="G94" s="397"/>
      <c r="H94" s="397"/>
      <c r="I94" s="397"/>
      <c r="J94" s="397"/>
      <c r="K94" s="397"/>
    </row>
    <row r="95" spans="1:11" ht="16.5">
      <c r="A95" s="382"/>
      <c r="B95" s="395"/>
      <c r="C95" s="396"/>
      <c r="D95" s="396"/>
      <c r="E95" s="382"/>
      <c r="F95" s="397"/>
      <c r="G95" s="397"/>
      <c r="H95" s="397"/>
      <c r="I95" s="397"/>
      <c r="J95" s="397"/>
      <c r="K95" s="397"/>
    </row>
    <row r="96" spans="1:11" ht="16.5">
      <c r="A96" s="382"/>
      <c r="B96" s="395"/>
      <c r="C96" s="396"/>
      <c r="D96" s="396"/>
      <c r="E96" s="382"/>
      <c r="F96" s="397"/>
      <c r="G96" s="397"/>
      <c r="H96" s="397"/>
      <c r="I96" s="397"/>
      <c r="J96" s="397"/>
      <c r="K96" s="397"/>
    </row>
    <row r="97" spans="1:11" ht="16.5">
      <c r="A97" s="382"/>
      <c r="B97" s="395"/>
      <c r="C97" s="396"/>
      <c r="D97" s="396"/>
      <c r="E97" s="382"/>
      <c r="F97" s="397"/>
      <c r="G97" s="397"/>
      <c r="H97" s="397"/>
      <c r="I97" s="397"/>
      <c r="J97" s="397"/>
      <c r="K97" s="397"/>
    </row>
    <row r="98" spans="1:11" ht="16.5">
      <c r="A98" s="382"/>
      <c r="B98" s="395"/>
      <c r="C98" s="396"/>
      <c r="D98" s="396"/>
      <c r="E98" s="382"/>
      <c r="F98" s="397"/>
      <c r="G98" s="397"/>
      <c r="H98" s="397"/>
      <c r="I98" s="397"/>
      <c r="J98" s="397"/>
      <c r="K98" s="397"/>
    </row>
    <row r="99" spans="1:11" ht="16.5">
      <c r="A99" s="382"/>
      <c r="B99" s="395"/>
      <c r="C99" s="396"/>
      <c r="D99" s="396"/>
      <c r="E99" s="382"/>
      <c r="F99" s="397"/>
      <c r="G99" s="397"/>
      <c r="H99" s="397"/>
      <c r="I99" s="397"/>
      <c r="J99" s="397"/>
      <c r="K99" s="397"/>
    </row>
    <row r="100" spans="1:11" ht="16.5">
      <c r="A100" s="382"/>
      <c r="B100" s="395"/>
      <c r="C100" s="396"/>
      <c r="D100" s="396"/>
      <c r="E100" s="382"/>
      <c r="F100" s="397"/>
      <c r="G100" s="397"/>
      <c r="H100" s="397"/>
      <c r="I100" s="397"/>
      <c r="J100" s="397"/>
      <c r="K100" s="397"/>
    </row>
    <row r="101" spans="1:11" ht="16.5">
      <c r="A101" s="382"/>
      <c r="B101" s="395"/>
      <c r="C101" s="396"/>
      <c r="D101" s="396"/>
      <c r="E101" s="382"/>
      <c r="F101" s="397"/>
      <c r="G101" s="397"/>
      <c r="H101" s="397"/>
      <c r="I101" s="397"/>
      <c r="J101" s="397"/>
      <c r="K101" s="397"/>
    </row>
    <row r="102" spans="1:11" ht="16.5">
      <c r="A102" s="382"/>
      <c r="B102" s="395"/>
      <c r="C102" s="396"/>
      <c r="D102" s="396"/>
      <c r="E102" s="382"/>
      <c r="F102" s="397"/>
      <c r="G102" s="397"/>
      <c r="H102" s="397"/>
      <c r="I102" s="397"/>
      <c r="J102" s="397"/>
      <c r="K102" s="397"/>
    </row>
    <row r="103" spans="1:11" ht="16.5">
      <c r="A103" s="382"/>
      <c r="B103" s="395"/>
      <c r="C103" s="396"/>
      <c r="D103" s="396"/>
      <c r="E103" s="382"/>
      <c r="F103" s="397"/>
      <c r="G103" s="397"/>
      <c r="H103" s="397"/>
      <c r="I103" s="397"/>
      <c r="J103" s="397"/>
      <c r="K103" s="397"/>
    </row>
    <row r="104" spans="1:11" ht="16.5">
      <c r="A104" s="382"/>
      <c r="B104" s="395"/>
      <c r="C104" s="396"/>
      <c r="D104" s="396"/>
      <c r="E104" s="382"/>
      <c r="F104" s="397"/>
      <c r="G104" s="397"/>
      <c r="H104" s="397"/>
      <c r="I104" s="397"/>
      <c r="J104" s="397"/>
      <c r="K104" s="397"/>
    </row>
    <row r="105" spans="1:11" ht="16.5">
      <c r="A105" s="382"/>
      <c r="B105" s="395"/>
      <c r="C105" s="396"/>
      <c r="D105" s="396"/>
      <c r="E105" s="382"/>
      <c r="F105" s="397"/>
      <c r="G105" s="397"/>
      <c r="H105" s="397"/>
      <c r="I105" s="397"/>
      <c r="J105" s="397"/>
      <c r="K105" s="397"/>
    </row>
    <row r="106" spans="1:11" ht="16.5">
      <c r="A106" s="382"/>
      <c r="B106" s="395"/>
      <c r="C106" s="396"/>
      <c r="D106" s="396"/>
      <c r="E106" s="382"/>
      <c r="F106" s="397"/>
      <c r="G106" s="397"/>
      <c r="H106" s="397"/>
      <c r="I106" s="397"/>
      <c r="J106" s="397"/>
      <c r="K106" s="397"/>
    </row>
    <row r="107" spans="1:11" ht="16.5">
      <c r="A107" s="382"/>
      <c r="B107" s="395"/>
      <c r="C107" s="396"/>
      <c r="D107" s="396"/>
      <c r="E107" s="382"/>
      <c r="F107" s="397"/>
      <c r="G107" s="397"/>
      <c r="H107" s="397"/>
      <c r="I107" s="397"/>
      <c r="J107" s="397"/>
      <c r="K107" s="397"/>
    </row>
    <row r="108" spans="1:11" ht="16.5">
      <c r="A108" s="382"/>
      <c r="B108" s="395"/>
      <c r="C108" s="396"/>
      <c r="D108" s="396"/>
      <c r="E108" s="382"/>
      <c r="F108" s="397"/>
      <c r="G108" s="397"/>
      <c r="H108" s="397"/>
      <c r="I108" s="397"/>
      <c r="J108" s="397"/>
      <c r="K108" s="397"/>
    </row>
    <row r="109" spans="1:11" ht="16.5">
      <c r="A109" s="382"/>
      <c r="B109" s="395"/>
      <c r="C109" s="396"/>
      <c r="D109" s="396"/>
      <c r="E109" s="382"/>
      <c r="F109" s="397"/>
      <c r="G109" s="397"/>
      <c r="H109" s="397"/>
      <c r="I109" s="397"/>
      <c r="J109" s="397"/>
      <c r="K109" s="397"/>
    </row>
    <row r="110" spans="1:11" ht="16.5">
      <c r="A110" s="382"/>
      <c r="B110" s="395"/>
      <c r="C110" s="396"/>
      <c r="D110" s="396"/>
      <c r="E110" s="382"/>
      <c r="F110" s="397"/>
      <c r="G110" s="397"/>
      <c r="H110" s="397"/>
      <c r="I110" s="397"/>
      <c r="J110" s="397"/>
      <c r="K110" s="397"/>
    </row>
    <row r="111" spans="1:11" ht="16.5">
      <c r="A111" s="382"/>
      <c r="B111" s="395"/>
      <c r="C111" s="396"/>
      <c r="D111" s="396"/>
      <c r="E111" s="382"/>
      <c r="F111" s="397"/>
      <c r="G111" s="397"/>
      <c r="H111" s="397"/>
      <c r="I111" s="397"/>
      <c r="J111" s="397"/>
      <c r="K111" s="397"/>
    </row>
    <row r="112" spans="1:11" ht="16.5">
      <c r="A112" s="382"/>
      <c r="B112" s="395"/>
      <c r="C112" s="396"/>
      <c r="D112" s="396"/>
      <c r="E112" s="382"/>
      <c r="F112" s="397"/>
      <c r="G112" s="397"/>
      <c r="H112" s="397"/>
      <c r="I112" s="397"/>
      <c r="J112" s="397"/>
      <c r="K112" s="397"/>
    </row>
    <row r="113" spans="1:11" ht="16.5">
      <c r="A113" s="382"/>
      <c r="B113" s="395"/>
      <c r="C113" s="396"/>
      <c r="D113" s="396"/>
      <c r="E113" s="382"/>
      <c r="F113" s="397"/>
      <c r="G113" s="397"/>
      <c r="H113" s="397"/>
      <c r="I113" s="397"/>
      <c r="J113" s="397"/>
      <c r="K113" s="397"/>
    </row>
    <row r="114" spans="1:11" ht="16.5">
      <c r="A114" s="382"/>
      <c r="B114" s="395"/>
      <c r="C114" s="396"/>
      <c r="D114" s="396"/>
      <c r="E114" s="382"/>
      <c r="F114" s="397"/>
      <c r="G114" s="397"/>
      <c r="H114" s="397"/>
      <c r="I114" s="397"/>
      <c r="J114" s="397"/>
      <c r="K114" s="397"/>
    </row>
    <row r="115" spans="1:11" ht="16.5">
      <c r="A115" s="382"/>
      <c r="B115" s="395"/>
      <c r="C115" s="396"/>
      <c r="D115" s="396"/>
      <c r="E115" s="382"/>
      <c r="F115" s="397"/>
      <c r="G115" s="397"/>
      <c r="H115" s="397"/>
      <c r="I115" s="397"/>
      <c r="J115" s="397"/>
      <c r="K115" s="397"/>
    </row>
    <row r="116" spans="1:11" ht="16.5">
      <c r="A116" s="382"/>
      <c r="B116" s="395"/>
      <c r="C116" s="396"/>
      <c r="D116" s="396"/>
      <c r="E116" s="382"/>
      <c r="F116" s="397"/>
      <c r="G116" s="397"/>
      <c r="H116" s="397"/>
      <c r="I116" s="397"/>
      <c r="J116" s="397"/>
      <c r="K116" s="397"/>
    </row>
    <row r="117" spans="1:11" ht="16.5">
      <c r="A117" s="382"/>
      <c r="B117" s="395"/>
      <c r="C117" s="396"/>
      <c r="D117" s="396"/>
      <c r="E117" s="382"/>
      <c r="F117" s="397"/>
      <c r="G117" s="397"/>
      <c r="H117" s="397"/>
      <c r="I117" s="397"/>
      <c r="J117" s="397"/>
      <c r="K117" s="397"/>
    </row>
    <row r="118" spans="1:11" ht="16.5">
      <c r="A118" s="382"/>
      <c r="B118" s="395"/>
      <c r="C118" s="396"/>
      <c r="D118" s="396"/>
      <c r="E118" s="382"/>
      <c r="F118" s="397"/>
      <c r="G118" s="397"/>
      <c r="H118" s="397"/>
      <c r="I118" s="397"/>
      <c r="J118" s="397"/>
      <c r="K118" s="397"/>
    </row>
    <row r="119" spans="1:11" ht="16.5">
      <c r="A119" s="382"/>
      <c r="B119" s="395"/>
      <c r="C119" s="396"/>
      <c r="D119" s="396"/>
      <c r="E119" s="382"/>
      <c r="F119" s="397"/>
      <c r="G119" s="397"/>
      <c r="H119" s="397"/>
      <c r="I119" s="397"/>
      <c r="J119" s="397"/>
      <c r="K119" s="397"/>
    </row>
    <row r="120" spans="1:11" ht="16.5">
      <c r="A120" s="382"/>
      <c r="B120" s="395"/>
      <c r="C120" s="396"/>
      <c r="D120" s="396"/>
      <c r="E120" s="382"/>
      <c r="F120" s="397"/>
      <c r="G120" s="397"/>
      <c r="H120" s="397"/>
      <c r="I120" s="397"/>
      <c r="J120" s="397"/>
      <c r="K120" s="397"/>
    </row>
    <row r="121" spans="1:11" ht="16.5">
      <c r="A121" s="382"/>
      <c r="B121" s="395"/>
      <c r="C121" s="396"/>
      <c r="D121" s="396"/>
      <c r="E121" s="382"/>
      <c r="F121" s="397"/>
      <c r="G121" s="397"/>
      <c r="H121" s="397"/>
      <c r="I121" s="397"/>
      <c r="J121" s="397"/>
      <c r="K121" s="397"/>
    </row>
    <row r="122" spans="1:11" ht="16.5">
      <c r="A122" s="382"/>
      <c r="B122" s="395"/>
      <c r="C122" s="396"/>
      <c r="D122" s="396"/>
      <c r="E122" s="382"/>
      <c r="F122" s="397"/>
      <c r="G122" s="397"/>
      <c r="H122" s="397"/>
      <c r="I122" s="397"/>
      <c r="J122" s="397"/>
      <c r="K122" s="397"/>
    </row>
    <row r="123" spans="1:11" ht="16.5">
      <c r="A123" s="382"/>
      <c r="B123" s="395"/>
      <c r="C123" s="396"/>
      <c r="D123" s="396"/>
      <c r="E123" s="382"/>
      <c r="F123" s="397"/>
      <c r="G123" s="397"/>
      <c r="H123" s="397"/>
      <c r="I123" s="397"/>
      <c r="J123" s="397"/>
      <c r="K123" s="397"/>
    </row>
    <row r="124" spans="1:11" ht="16.5">
      <c r="A124" s="382"/>
      <c r="B124" s="395"/>
      <c r="C124" s="396"/>
      <c r="D124" s="396"/>
      <c r="E124" s="382"/>
      <c r="F124" s="397"/>
      <c r="G124" s="397"/>
      <c r="H124" s="397"/>
      <c r="I124" s="397"/>
      <c r="J124" s="397"/>
      <c r="K124" s="397"/>
    </row>
    <row r="125" spans="1:11" ht="16.5">
      <c r="A125" s="382"/>
      <c r="B125" s="395"/>
      <c r="C125" s="396"/>
      <c r="D125" s="396"/>
      <c r="E125" s="382"/>
      <c r="F125" s="397"/>
      <c r="G125" s="397"/>
      <c r="H125" s="397"/>
      <c r="I125" s="397"/>
      <c r="J125" s="397"/>
      <c r="K125" s="397"/>
    </row>
    <row r="126" spans="1:11" ht="16.5">
      <c r="A126" s="382"/>
      <c r="B126" s="395"/>
      <c r="C126" s="396"/>
      <c r="D126" s="396"/>
      <c r="E126" s="382"/>
      <c r="F126" s="397"/>
      <c r="G126" s="397"/>
      <c r="H126" s="397"/>
      <c r="I126" s="397"/>
      <c r="J126" s="397"/>
      <c r="K126" s="397"/>
    </row>
    <row r="127" spans="1:11" ht="16.5">
      <c r="A127" s="382"/>
      <c r="B127" s="395"/>
      <c r="C127" s="396"/>
      <c r="D127" s="396"/>
      <c r="E127" s="382"/>
      <c r="F127" s="397"/>
      <c r="G127" s="397"/>
      <c r="H127" s="397"/>
      <c r="I127" s="397"/>
      <c r="J127" s="397"/>
      <c r="K127" s="397"/>
    </row>
    <row r="128" spans="1:11" ht="16.5">
      <c r="A128" s="382"/>
      <c r="B128" s="395"/>
      <c r="C128" s="396"/>
      <c r="D128" s="396"/>
      <c r="E128" s="382"/>
      <c r="F128" s="397"/>
      <c r="G128" s="397"/>
      <c r="H128" s="397"/>
      <c r="I128" s="397"/>
      <c r="J128" s="397"/>
      <c r="K128" s="397"/>
    </row>
    <row r="129" spans="1:11" ht="16.5">
      <c r="A129" s="382"/>
      <c r="B129" s="395"/>
      <c r="C129" s="396"/>
      <c r="D129" s="396"/>
      <c r="E129" s="382"/>
      <c r="F129" s="397"/>
      <c r="G129" s="397"/>
      <c r="H129" s="397"/>
      <c r="I129" s="397"/>
      <c r="J129" s="397"/>
      <c r="K129" s="397"/>
    </row>
    <row r="130" spans="1:11" ht="16.5">
      <c r="A130" s="382"/>
      <c r="B130" s="395"/>
      <c r="C130" s="396"/>
      <c r="D130" s="396"/>
      <c r="E130" s="382"/>
      <c r="F130" s="397"/>
      <c r="G130" s="397"/>
      <c r="H130" s="397"/>
      <c r="I130" s="397"/>
      <c r="J130" s="397"/>
      <c r="K130" s="397"/>
    </row>
    <row r="131" spans="1:11" ht="16.5">
      <c r="A131" s="382"/>
      <c r="B131" s="395"/>
      <c r="C131" s="396"/>
      <c r="D131" s="396"/>
      <c r="E131" s="382"/>
      <c r="F131" s="397"/>
      <c r="G131" s="397"/>
      <c r="H131" s="397"/>
      <c r="I131" s="397"/>
      <c r="J131" s="397"/>
      <c r="K131" s="397"/>
    </row>
    <row r="132" spans="1:11" ht="16.5">
      <c r="A132" s="382"/>
      <c r="B132" s="395"/>
      <c r="C132" s="396"/>
      <c r="D132" s="396"/>
      <c r="E132" s="382"/>
      <c r="F132" s="397"/>
      <c r="G132" s="397"/>
      <c r="H132" s="397"/>
      <c r="I132" s="397"/>
      <c r="J132" s="397"/>
      <c r="K132" s="397"/>
    </row>
    <row r="133" spans="1:11" ht="16.5">
      <c r="A133" s="382"/>
      <c r="B133" s="395"/>
      <c r="C133" s="396"/>
      <c r="D133" s="396"/>
      <c r="E133" s="382"/>
      <c r="F133" s="397"/>
      <c r="G133" s="397"/>
      <c r="H133" s="397"/>
      <c r="I133" s="397"/>
      <c r="J133" s="397"/>
      <c r="K133" s="397"/>
    </row>
    <row r="134" spans="1:11" ht="16.5">
      <c r="A134" s="382"/>
      <c r="B134" s="395"/>
      <c r="C134" s="396"/>
      <c r="D134" s="396"/>
      <c r="E134" s="382"/>
      <c r="F134" s="397"/>
      <c r="G134" s="397"/>
      <c r="H134" s="397"/>
      <c r="I134" s="397"/>
      <c r="J134" s="397"/>
      <c r="K134" s="397"/>
    </row>
    <row r="135" spans="1:11" ht="16.5">
      <c r="A135" s="382"/>
      <c r="B135" s="395"/>
      <c r="C135" s="396"/>
      <c r="D135" s="396"/>
      <c r="E135" s="382"/>
      <c r="F135" s="397"/>
      <c r="G135" s="397"/>
      <c r="H135" s="397"/>
      <c r="I135" s="397"/>
      <c r="J135" s="397"/>
      <c r="K135" s="397"/>
    </row>
    <row r="136" spans="1:11" ht="16.5">
      <c r="A136" s="382"/>
      <c r="B136" s="395"/>
      <c r="C136" s="396"/>
      <c r="D136" s="396"/>
      <c r="E136" s="382"/>
      <c r="F136" s="397"/>
      <c r="G136" s="397"/>
      <c r="H136" s="397"/>
      <c r="I136" s="397"/>
      <c r="J136" s="397"/>
      <c r="K136" s="397"/>
    </row>
    <row r="137" spans="1:11" ht="16.5">
      <c r="A137" s="382"/>
      <c r="B137" s="395"/>
      <c r="C137" s="396"/>
      <c r="D137" s="396"/>
      <c r="E137" s="382"/>
      <c r="F137" s="397"/>
      <c r="G137" s="397"/>
      <c r="H137" s="397"/>
      <c r="I137" s="397"/>
      <c r="J137" s="397"/>
      <c r="K137" s="397"/>
    </row>
    <row r="138" spans="1:11" ht="16.5">
      <c r="A138" s="382"/>
      <c r="B138" s="395"/>
      <c r="C138" s="396"/>
      <c r="D138" s="396"/>
      <c r="E138" s="382"/>
      <c r="F138" s="397"/>
      <c r="G138" s="397"/>
      <c r="H138" s="397"/>
      <c r="I138" s="397"/>
      <c r="J138" s="397"/>
      <c r="K138" s="397"/>
    </row>
    <row r="139" spans="1:11" ht="16.5">
      <c r="A139" s="382"/>
      <c r="B139" s="395"/>
      <c r="C139" s="396"/>
      <c r="D139" s="396"/>
      <c r="E139" s="382"/>
      <c r="F139" s="397"/>
      <c r="G139" s="397"/>
      <c r="H139" s="397"/>
      <c r="I139" s="397"/>
      <c r="J139" s="397"/>
      <c r="K139" s="397"/>
    </row>
    <row r="140" spans="1:11" ht="16.5">
      <c r="A140" s="382"/>
      <c r="B140" s="395"/>
      <c r="C140" s="396"/>
      <c r="D140" s="396"/>
      <c r="E140" s="382"/>
      <c r="F140" s="397"/>
      <c r="G140" s="397"/>
      <c r="H140" s="397"/>
      <c r="I140" s="397"/>
      <c r="J140" s="397"/>
      <c r="K140" s="397"/>
    </row>
    <row r="141" spans="1:11" ht="16.5">
      <c r="A141" s="382"/>
      <c r="B141" s="395"/>
      <c r="C141" s="396"/>
      <c r="D141" s="396"/>
      <c r="E141" s="382"/>
      <c r="F141" s="397"/>
      <c r="G141" s="397"/>
      <c r="H141" s="397"/>
      <c r="I141" s="397"/>
      <c r="J141" s="397"/>
      <c r="K141" s="397"/>
    </row>
    <row r="142" spans="1:11" ht="16.5">
      <c r="A142" s="382"/>
      <c r="B142" s="395"/>
      <c r="C142" s="396"/>
      <c r="D142" s="396"/>
      <c r="E142" s="382"/>
      <c r="F142" s="397"/>
      <c r="G142" s="397"/>
      <c r="H142" s="397"/>
      <c r="I142" s="397"/>
      <c r="J142" s="397"/>
      <c r="K142" s="397"/>
    </row>
    <row r="143" spans="1:11" ht="16.5">
      <c r="A143" s="382"/>
      <c r="B143" s="395"/>
      <c r="C143" s="396"/>
      <c r="D143" s="396"/>
      <c r="E143" s="382"/>
      <c r="F143" s="397"/>
      <c r="G143" s="397"/>
      <c r="H143" s="397"/>
      <c r="I143" s="397"/>
      <c r="J143" s="397"/>
      <c r="K143" s="397"/>
    </row>
    <row r="144" spans="1:11" ht="16.5">
      <c r="A144" s="382"/>
      <c r="B144" s="395"/>
      <c r="C144" s="396"/>
      <c r="D144" s="396"/>
      <c r="E144" s="382"/>
      <c r="F144" s="397"/>
      <c r="G144" s="397"/>
      <c r="H144" s="397"/>
      <c r="I144" s="397"/>
      <c r="J144" s="397"/>
      <c r="K144" s="397"/>
    </row>
    <row r="145" spans="1:11" ht="16.5">
      <c r="A145" s="382"/>
      <c r="B145" s="395"/>
      <c r="C145" s="396"/>
      <c r="D145" s="396"/>
      <c r="E145" s="382"/>
      <c r="F145" s="397"/>
      <c r="G145" s="397"/>
      <c r="H145" s="397"/>
      <c r="I145" s="397"/>
      <c r="J145" s="397"/>
      <c r="K145" s="397"/>
    </row>
    <row r="146" spans="1:11" ht="16.5">
      <c r="A146" s="382"/>
      <c r="B146" s="395"/>
      <c r="C146" s="396"/>
      <c r="D146" s="396"/>
      <c r="E146" s="382"/>
      <c r="F146" s="397"/>
      <c r="G146" s="397"/>
      <c r="H146" s="397"/>
      <c r="I146" s="397"/>
      <c r="J146" s="397"/>
      <c r="K146" s="397"/>
    </row>
    <row r="147" spans="1:11" ht="16.5">
      <c r="A147" s="382"/>
      <c r="B147" s="395"/>
      <c r="C147" s="396"/>
      <c r="D147" s="396"/>
      <c r="E147" s="382"/>
      <c r="F147" s="397"/>
      <c r="G147" s="397"/>
      <c r="H147" s="397"/>
      <c r="I147" s="397"/>
      <c r="J147" s="397"/>
      <c r="K147" s="397"/>
    </row>
    <row r="148" spans="1:11" ht="16.5">
      <c r="A148" s="382"/>
      <c r="B148" s="395"/>
      <c r="C148" s="396"/>
      <c r="D148" s="396"/>
      <c r="E148" s="382"/>
      <c r="F148" s="397"/>
      <c r="G148" s="397"/>
      <c r="H148" s="397"/>
      <c r="I148" s="397"/>
      <c r="J148" s="397"/>
      <c r="K148" s="397"/>
    </row>
    <row r="149" spans="1:11" ht="16.5">
      <c r="A149" s="382"/>
      <c r="B149" s="395"/>
      <c r="C149" s="396"/>
      <c r="D149" s="396"/>
      <c r="E149" s="382"/>
      <c r="F149" s="397"/>
      <c r="G149" s="397"/>
      <c r="H149" s="397"/>
      <c r="I149" s="397"/>
      <c r="J149" s="397"/>
      <c r="K149" s="397"/>
    </row>
    <row r="150" spans="1:11" ht="16.5">
      <c r="A150" s="382"/>
      <c r="B150" s="395"/>
      <c r="C150" s="396"/>
      <c r="D150" s="396"/>
      <c r="E150" s="382"/>
      <c r="F150" s="397"/>
      <c r="G150" s="397"/>
      <c r="H150" s="397"/>
      <c r="I150" s="397"/>
      <c r="J150" s="397"/>
      <c r="K150" s="397"/>
    </row>
    <row r="151" spans="1:11" ht="16.5">
      <c r="A151" s="382"/>
      <c r="B151" s="395"/>
      <c r="C151" s="396"/>
      <c r="D151" s="396"/>
      <c r="E151" s="382"/>
      <c r="F151" s="397"/>
      <c r="G151" s="397"/>
      <c r="H151" s="397"/>
      <c r="I151" s="397"/>
      <c r="J151" s="397"/>
      <c r="K151" s="397"/>
    </row>
    <row r="152" spans="1:11" ht="16.5">
      <c r="A152" s="382"/>
      <c r="B152" s="395"/>
      <c r="C152" s="396"/>
      <c r="D152" s="396"/>
      <c r="E152" s="382"/>
      <c r="F152" s="397"/>
      <c r="G152" s="397"/>
      <c r="H152" s="397"/>
      <c r="I152" s="397"/>
      <c r="J152" s="397"/>
      <c r="K152" s="397"/>
    </row>
    <row r="153" spans="1:11" ht="16.5">
      <c r="A153" s="382"/>
      <c r="B153" s="395"/>
      <c r="C153" s="396"/>
      <c r="D153" s="396"/>
      <c r="E153" s="382"/>
      <c r="F153" s="397"/>
      <c r="G153" s="397"/>
      <c r="H153" s="397"/>
      <c r="I153" s="397"/>
      <c r="J153" s="397"/>
      <c r="K153" s="397"/>
    </row>
    <row r="154" spans="1:11" ht="16.5">
      <c r="A154" s="382"/>
      <c r="B154" s="395"/>
      <c r="C154" s="396"/>
      <c r="D154" s="396"/>
      <c r="E154" s="382"/>
      <c r="F154" s="397"/>
      <c r="G154" s="397"/>
      <c r="H154" s="397"/>
      <c r="I154" s="397"/>
      <c r="J154" s="397"/>
      <c r="K154" s="397"/>
    </row>
    <row r="155" spans="1:11" ht="16.5">
      <c r="A155" s="382"/>
      <c r="B155" s="395"/>
      <c r="C155" s="396"/>
      <c r="D155" s="396"/>
      <c r="E155" s="382"/>
      <c r="F155" s="397"/>
      <c r="G155" s="397"/>
      <c r="H155" s="397"/>
      <c r="I155" s="397"/>
      <c r="J155" s="397"/>
      <c r="K155" s="397"/>
    </row>
    <row r="156" spans="1:11" ht="16.5">
      <c r="A156" s="382"/>
      <c r="B156" s="395"/>
      <c r="C156" s="396"/>
      <c r="D156" s="396"/>
      <c r="E156" s="382"/>
      <c r="F156" s="397"/>
      <c r="G156" s="397"/>
      <c r="H156" s="397"/>
      <c r="I156" s="397"/>
      <c r="J156" s="397"/>
      <c r="K156" s="397"/>
    </row>
    <row r="157" spans="1:11" ht="16.5">
      <c r="A157" s="382"/>
      <c r="B157" s="395"/>
      <c r="C157" s="396"/>
      <c r="D157" s="396"/>
      <c r="E157" s="382"/>
      <c r="F157" s="397"/>
      <c r="G157" s="397"/>
      <c r="H157" s="397"/>
      <c r="I157" s="397"/>
      <c r="J157" s="397"/>
      <c r="K157" s="397"/>
    </row>
    <row r="158" spans="1:11" ht="16.5">
      <c r="A158" s="382"/>
      <c r="B158" s="395"/>
      <c r="C158" s="396"/>
      <c r="D158" s="396"/>
      <c r="E158" s="382"/>
      <c r="F158" s="397"/>
      <c r="G158" s="397"/>
      <c r="H158" s="397"/>
      <c r="I158" s="397"/>
      <c r="J158" s="397"/>
      <c r="K158" s="397"/>
    </row>
    <row r="159" spans="1:11" ht="16.5">
      <c r="A159" s="382"/>
      <c r="B159" s="395"/>
      <c r="C159" s="396"/>
      <c r="D159" s="396"/>
      <c r="E159" s="382"/>
      <c r="F159" s="397"/>
      <c r="G159" s="397"/>
      <c r="H159" s="397"/>
      <c r="I159" s="397"/>
      <c r="J159" s="397"/>
      <c r="K159" s="397"/>
    </row>
    <row r="160" spans="1:11" ht="16.5">
      <c r="A160" s="382"/>
      <c r="B160" s="395"/>
      <c r="C160" s="396"/>
      <c r="D160" s="396"/>
      <c r="E160" s="382"/>
      <c r="F160" s="397"/>
      <c r="G160" s="397"/>
      <c r="H160" s="397"/>
      <c r="I160" s="397"/>
      <c r="J160" s="397"/>
      <c r="K160" s="397"/>
    </row>
    <row r="161" spans="1:11" ht="16.5">
      <c r="A161" s="382"/>
      <c r="B161" s="395"/>
      <c r="C161" s="396"/>
      <c r="D161" s="396"/>
      <c r="E161" s="382"/>
      <c r="F161" s="397"/>
      <c r="G161" s="397"/>
      <c r="H161" s="397"/>
      <c r="I161" s="397"/>
      <c r="J161" s="397"/>
      <c r="K161" s="397"/>
    </row>
    <row r="162" spans="1:11" ht="16.5">
      <c r="A162" s="382"/>
      <c r="B162" s="395"/>
      <c r="C162" s="396"/>
      <c r="D162" s="396"/>
      <c r="E162" s="382"/>
      <c r="F162" s="397"/>
      <c r="G162" s="397"/>
      <c r="H162" s="397"/>
      <c r="I162" s="397"/>
      <c r="J162" s="397"/>
      <c r="K162" s="397"/>
    </row>
    <row r="163" spans="1:11" ht="16.5">
      <c r="A163" s="382"/>
      <c r="B163" s="395"/>
      <c r="C163" s="396"/>
      <c r="D163" s="396"/>
      <c r="E163" s="382"/>
      <c r="F163" s="397"/>
      <c r="G163" s="397"/>
      <c r="H163" s="397"/>
      <c r="I163" s="397"/>
      <c r="J163" s="397"/>
      <c r="K163" s="397"/>
    </row>
    <row r="164" spans="1:11" ht="16.5">
      <c r="A164" s="382"/>
      <c r="B164" s="395"/>
      <c r="C164" s="396"/>
      <c r="D164" s="396"/>
      <c r="E164" s="382"/>
      <c r="F164" s="397"/>
      <c r="G164" s="397"/>
      <c r="H164" s="397"/>
      <c r="I164" s="397"/>
      <c r="J164" s="397"/>
      <c r="K164" s="397"/>
    </row>
    <row r="165" spans="1:11" ht="16.5">
      <c r="A165" s="382"/>
      <c r="B165" s="395"/>
      <c r="C165" s="396"/>
      <c r="D165" s="396"/>
      <c r="E165" s="382"/>
      <c r="F165" s="397"/>
      <c r="G165" s="397"/>
      <c r="H165" s="397"/>
      <c r="I165" s="397"/>
      <c r="J165" s="397"/>
      <c r="K165" s="397"/>
    </row>
    <row r="166" spans="1:11" ht="16.5">
      <c r="A166" s="382"/>
      <c r="B166" s="395"/>
      <c r="C166" s="396"/>
      <c r="D166" s="396"/>
      <c r="E166" s="382"/>
      <c r="F166" s="397"/>
      <c r="G166" s="397"/>
      <c r="H166" s="397"/>
      <c r="I166" s="397"/>
      <c r="J166" s="397"/>
      <c r="K166" s="397"/>
    </row>
    <row r="167" spans="1:11" ht="16.5">
      <c r="A167" s="382"/>
      <c r="B167" s="395"/>
      <c r="C167" s="396"/>
      <c r="D167" s="396"/>
      <c r="E167" s="382"/>
      <c r="F167" s="397"/>
      <c r="G167" s="397"/>
      <c r="H167" s="397"/>
      <c r="I167" s="397"/>
      <c r="J167" s="397"/>
      <c r="K167" s="397"/>
    </row>
    <row r="168" spans="1:11" ht="16.5">
      <c r="A168" s="382"/>
      <c r="B168" s="395"/>
      <c r="C168" s="396"/>
      <c r="D168" s="396"/>
      <c r="E168" s="382"/>
      <c r="F168" s="397"/>
      <c r="G168" s="397"/>
      <c r="H168" s="397"/>
      <c r="I168" s="397"/>
      <c r="J168" s="397"/>
      <c r="K168" s="397"/>
    </row>
    <row r="169" spans="1:11" ht="16.5">
      <c r="A169" s="382"/>
      <c r="B169" s="395"/>
      <c r="C169" s="396"/>
      <c r="D169" s="396"/>
      <c r="E169" s="382"/>
      <c r="F169" s="397"/>
      <c r="G169" s="397"/>
      <c r="H169" s="397"/>
      <c r="I169" s="397"/>
      <c r="J169" s="397"/>
      <c r="K169" s="397"/>
    </row>
    <row r="170" spans="1:11" ht="16.5">
      <c r="A170" s="382"/>
      <c r="B170" s="395"/>
      <c r="C170" s="396"/>
      <c r="D170" s="396"/>
      <c r="E170" s="382"/>
      <c r="F170" s="397"/>
      <c r="G170" s="397"/>
      <c r="H170" s="397"/>
      <c r="I170" s="397"/>
      <c r="J170" s="397"/>
      <c r="K170" s="397"/>
    </row>
    <row r="171" spans="1:11" ht="16.5">
      <c r="A171" s="382"/>
      <c r="B171" s="395"/>
      <c r="C171" s="396"/>
      <c r="D171" s="396"/>
      <c r="E171" s="382"/>
      <c r="F171" s="397"/>
      <c r="G171" s="397"/>
      <c r="H171" s="397"/>
      <c r="I171" s="397"/>
      <c r="J171" s="397"/>
      <c r="K171" s="397"/>
    </row>
    <row r="172" spans="1:11" ht="16.5">
      <c r="A172" s="382"/>
      <c r="B172" s="395"/>
      <c r="C172" s="396"/>
      <c r="D172" s="396"/>
      <c r="E172" s="382"/>
      <c r="F172" s="397"/>
      <c r="G172" s="397"/>
      <c r="H172" s="397"/>
      <c r="I172" s="397"/>
      <c r="J172" s="397"/>
      <c r="K172" s="397"/>
    </row>
    <row r="173" spans="1:11" ht="16.5">
      <c r="A173" s="382"/>
      <c r="B173" s="395"/>
      <c r="C173" s="396"/>
      <c r="D173" s="396"/>
      <c r="E173" s="382"/>
      <c r="F173" s="397"/>
      <c r="G173" s="397"/>
      <c r="H173" s="397"/>
      <c r="I173" s="397"/>
      <c r="J173" s="397"/>
      <c r="K173" s="397"/>
    </row>
    <row r="174" spans="1:11" ht="16.5">
      <c r="A174" s="382"/>
      <c r="B174" s="395"/>
      <c r="C174" s="396"/>
      <c r="D174" s="396"/>
      <c r="E174" s="382"/>
      <c r="F174" s="397"/>
      <c r="G174" s="397"/>
      <c r="H174" s="397"/>
      <c r="I174" s="397"/>
      <c r="J174" s="397"/>
      <c r="K174" s="397"/>
    </row>
    <row r="175" spans="1:11" ht="16.5">
      <c r="A175" s="382"/>
      <c r="B175" s="395"/>
      <c r="C175" s="396"/>
      <c r="D175" s="396"/>
      <c r="E175" s="382"/>
      <c r="F175" s="397"/>
      <c r="G175" s="397"/>
      <c r="H175" s="397"/>
      <c r="I175" s="397"/>
      <c r="J175" s="397"/>
      <c r="K175" s="397"/>
    </row>
    <row r="176" spans="1:11" ht="16.5">
      <c r="A176" s="382"/>
      <c r="B176" s="395"/>
      <c r="C176" s="396"/>
      <c r="D176" s="396"/>
      <c r="E176" s="382"/>
      <c r="F176" s="397"/>
      <c r="G176" s="397"/>
      <c r="H176" s="397"/>
      <c r="I176" s="397"/>
      <c r="J176" s="397"/>
      <c r="K176" s="397"/>
    </row>
    <row r="177" spans="1:11" ht="16.5">
      <c r="A177" s="382"/>
      <c r="B177" s="395"/>
      <c r="C177" s="396"/>
      <c r="D177" s="396"/>
      <c r="E177" s="382"/>
      <c r="F177" s="397"/>
      <c r="G177" s="397"/>
      <c r="H177" s="397"/>
      <c r="I177" s="397"/>
      <c r="J177" s="397"/>
      <c r="K177" s="397"/>
    </row>
    <row r="178" spans="1:11" ht="16.5">
      <c r="A178" s="382"/>
      <c r="B178" s="395"/>
      <c r="C178" s="396"/>
      <c r="D178" s="396"/>
      <c r="E178" s="382"/>
      <c r="F178" s="397"/>
      <c r="G178" s="397"/>
      <c r="H178" s="397"/>
      <c r="I178" s="397"/>
      <c r="J178" s="397"/>
      <c r="K178" s="397"/>
    </row>
    <row r="179" spans="1:11" ht="16.5">
      <c r="A179" s="382"/>
      <c r="B179" s="395"/>
      <c r="C179" s="396"/>
      <c r="D179" s="396"/>
      <c r="E179" s="382"/>
      <c r="F179" s="397"/>
      <c r="G179" s="397"/>
      <c r="H179" s="397"/>
      <c r="I179" s="397"/>
      <c r="J179" s="397"/>
      <c r="K179" s="397"/>
    </row>
    <row r="180" spans="1:11" ht="16.5">
      <c r="A180" s="382"/>
      <c r="B180" s="395"/>
      <c r="C180" s="396"/>
      <c r="D180" s="396"/>
      <c r="E180" s="382"/>
      <c r="F180" s="397"/>
      <c r="G180" s="397"/>
      <c r="H180" s="397"/>
      <c r="I180" s="397"/>
      <c r="J180" s="397"/>
      <c r="K180" s="397"/>
    </row>
    <row r="181" spans="1:11" ht="16.5">
      <c r="A181" s="382"/>
      <c r="B181" s="395"/>
      <c r="C181" s="396"/>
      <c r="D181" s="396"/>
      <c r="E181" s="382"/>
      <c r="F181" s="397"/>
      <c r="G181" s="397"/>
      <c r="H181" s="397"/>
      <c r="I181" s="397"/>
      <c r="J181" s="397"/>
      <c r="K181" s="397"/>
    </row>
    <row r="182" spans="1:11" ht="16.5">
      <c r="A182" s="382"/>
      <c r="B182" s="395"/>
      <c r="C182" s="396"/>
      <c r="D182" s="396"/>
      <c r="E182" s="382"/>
      <c r="F182" s="397"/>
      <c r="G182" s="397"/>
      <c r="H182" s="397"/>
      <c r="I182" s="397"/>
      <c r="J182" s="397"/>
      <c r="K182" s="397"/>
    </row>
    <row r="183" spans="1:11" ht="16.5">
      <c r="A183" s="382"/>
      <c r="B183" s="395"/>
      <c r="C183" s="396"/>
      <c r="D183" s="396"/>
      <c r="E183" s="382"/>
      <c r="F183" s="397"/>
      <c r="G183" s="397"/>
      <c r="H183" s="397"/>
      <c r="I183" s="397"/>
      <c r="J183" s="397"/>
      <c r="K183" s="397"/>
    </row>
    <row r="184" spans="1:11" ht="16.5">
      <c r="A184" s="382"/>
      <c r="B184" s="395"/>
      <c r="C184" s="396"/>
      <c r="D184" s="396"/>
      <c r="E184" s="382"/>
      <c r="F184" s="397"/>
      <c r="G184" s="397"/>
      <c r="H184" s="397"/>
      <c r="I184" s="397"/>
      <c r="J184" s="397"/>
      <c r="K184" s="397"/>
    </row>
    <row r="185" spans="1:11" ht="16.5">
      <c r="A185" s="382"/>
      <c r="B185" s="395"/>
      <c r="C185" s="396"/>
      <c r="D185" s="396"/>
      <c r="E185" s="382"/>
      <c r="F185" s="397"/>
      <c r="G185" s="397"/>
      <c r="H185" s="397"/>
      <c r="I185" s="397"/>
      <c r="J185" s="397"/>
      <c r="K185" s="397"/>
    </row>
    <row r="186" spans="1:11" ht="16.5">
      <c r="A186" s="382"/>
      <c r="B186" s="395"/>
      <c r="C186" s="396"/>
      <c r="D186" s="396"/>
      <c r="E186" s="382"/>
      <c r="F186" s="397"/>
      <c r="G186" s="397"/>
      <c r="H186" s="397"/>
      <c r="I186" s="397"/>
      <c r="J186" s="397"/>
      <c r="K186" s="397"/>
    </row>
    <row r="187" spans="1:11" ht="16.5">
      <c r="A187" s="382"/>
      <c r="B187" s="395"/>
      <c r="C187" s="396"/>
      <c r="D187" s="396"/>
      <c r="E187" s="382"/>
      <c r="F187" s="397"/>
      <c r="G187" s="397"/>
      <c r="H187" s="397"/>
      <c r="I187" s="397"/>
      <c r="J187" s="397"/>
      <c r="K187" s="397"/>
    </row>
    <row r="188" spans="1:11" ht="16.5">
      <c r="A188" s="382"/>
      <c r="B188" s="395"/>
      <c r="C188" s="396"/>
      <c r="D188" s="396"/>
      <c r="E188" s="382"/>
      <c r="F188" s="397"/>
      <c r="G188" s="397"/>
      <c r="H188" s="397"/>
      <c r="I188" s="397"/>
      <c r="J188" s="397"/>
      <c r="K188" s="397"/>
    </row>
    <row r="189" spans="1:11" ht="16.5">
      <c r="A189" s="382"/>
      <c r="B189" s="395"/>
      <c r="C189" s="396"/>
      <c r="D189" s="396"/>
      <c r="E189" s="382"/>
      <c r="F189" s="397"/>
      <c r="G189" s="397"/>
      <c r="H189" s="397"/>
      <c r="I189" s="397"/>
      <c r="J189" s="397"/>
      <c r="K189" s="397"/>
    </row>
    <row r="190" spans="1:11" ht="16.5">
      <c r="A190" s="382"/>
      <c r="B190" s="395"/>
      <c r="C190" s="396"/>
      <c r="D190" s="396"/>
      <c r="E190" s="382"/>
      <c r="F190" s="397"/>
      <c r="G190" s="397"/>
      <c r="H190" s="397"/>
      <c r="I190" s="397"/>
      <c r="J190" s="397"/>
      <c r="K190" s="397"/>
    </row>
    <row r="191" spans="1:11" ht="16.5">
      <c r="A191" s="382"/>
      <c r="B191" s="395"/>
      <c r="C191" s="396"/>
      <c r="D191" s="396"/>
      <c r="E191" s="382"/>
      <c r="F191" s="397"/>
      <c r="G191" s="397"/>
      <c r="H191" s="397"/>
      <c r="I191" s="397"/>
      <c r="J191" s="397"/>
      <c r="K191" s="397"/>
    </row>
    <row r="192" spans="1:11" ht="16.5">
      <c r="A192" s="382"/>
      <c r="B192" s="395"/>
      <c r="C192" s="396"/>
      <c r="D192" s="396"/>
      <c r="E192" s="382"/>
      <c r="F192" s="397"/>
      <c r="G192" s="397"/>
      <c r="H192" s="397"/>
      <c r="I192" s="397"/>
      <c r="J192" s="397"/>
      <c r="K192" s="397"/>
    </row>
    <row r="193" spans="1:11" ht="16.5">
      <c r="A193" s="382"/>
      <c r="B193" s="395"/>
      <c r="C193" s="396"/>
      <c r="D193" s="396"/>
      <c r="E193" s="382"/>
      <c r="F193" s="397"/>
      <c r="G193" s="397"/>
      <c r="H193" s="397"/>
      <c r="I193" s="397"/>
      <c r="J193" s="397"/>
      <c r="K193" s="397"/>
    </row>
    <row r="194" spans="1:11" ht="16.5">
      <c r="A194" s="382"/>
      <c r="B194" s="395"/>
      <c r="C194" s="396"/>
      <c r="D194" s="396"/>
      <c r="E194" s="382"/>
      <c r="F194" s="397"/>
      <c r="G194" s="397"/>
      <c r="H194" s="397"/>
      <c r="I194" s="397"/>
      <c r="J194" s="397"/>
      <c r="K194" s="397"/>
    </row>
    <row r="195" spans="1:11" ht="16.5">
      <c r="A195" s="382"/>
      <c r="B195" s="395"/>
      <c r="C195" s="396"/>
      <c r="D195" s="396"/>
      <c r="E195" s="382"/>
      <c r="F195" s="397"/>
      <c r="G195" s="397"/>
      <c r="H195" s="397"/>
      <c r="I195" s="397"/>
      <c r="J195" s="397"/>
      <c r="K195" s="397"/>
    </row>
    <row r="196" spans="1:11" ht="16.5">
      <c r="A196" s="382"/>
      <c r="B196" s="395"/>
      <c r="C196" s="396"/>
      <c r="D196" s="396"/>
      <c r="E196" s="382"/>
      <c r="F196" s="397"/>
      <c r="G196" s="397"/>
      <c r="H196" s="397"/>
      <c r="I196" s="397"/>
      <c r="J196" s="397"/>
      <c r="K196" s="397"/>
    </row>
    <row r="197" spans="1:11" ht="16.5">
      <c r="A197" s="382"/>
      <c r="B197" s="395"/>
      <c r="C197" s="396"/>
      <c r="D197" s="396"/>
      <c r="E197" s="382"/>
      <c r="F197" s="397"/>
      <c r="G197" s="397"/>
      <c r="H197" s="397"/>
      <c r="I197" s="397"/>
      <c r="J197" s="397"/>
      <c r="K197" s="397"/>
    </row>
    <row r="198" spans="1:11" ht="16.5">
      <c r="A198" s="382"/>
      <c r="B198" s="395"/>
      <c r="C198" s="396"/>
      <c r="D198" s="396"/>
      <c r="E198" s="382"/>
      <c r="F198" s="397"/>
      <c r="G198" s="397"/>
      <c r="H198" s="397"/>
      <c r="I198" s="397"/>
      <c r="J198" s="397"/>
      <c r="K198" s="397"/>
    </row>
    <row r="199" spans="1:11" ht="16.5">
      <c r="A199" s="382"/>
      <c r="B199" s="395"/>
      <c r="C199" s="396"/>
      <c r="D199" s="396"/>
      <c r="E199" s="382"/>
      <c r="F199" s="397"/>
      <c r="G199" s="397"/>
      <c r="H199" s="397"/>
      <c r="I199" s="397"/>
      <c r="J199" s="397"/>
      <c r="K199" s="397"/>
    </row>
    <row r="200" spans="1:11" ht="16.5">
      <c r="A200" s="382"/>
      <c r="B200" s="395"/>
      <c r="C200" s="396"/>
      <c r="D200" s="396"/>
      <c r="E200" s="382"/>
      <c r="F200" s="397"/>
      <c r="G200" s="397"/>
      <c r="H200" s="397"/>
      <c r="I200" s="397"/>
      <c r="J200" s="397"/>
      <c r="K200" s="397"/>
    </row>
    <row r="201" spans="1:11" ht="16.5">
      <c r="A201" s="382"/>
      <c r="B201" s="395"/>
      <c r="C201" s="396"/>
      <c r="D201" s="396"/>
      <c r="E201" s="382"/>
      <c r="F201" s="397"/>
      <c r="G201" s="397"/>
      <c r="H201" s="397"/>
      <c r="I201" s="397"/>
      <c r="J201" s="397"/>
      <c r="K201" s="397"/>
    </row>
    <row r="202" spans="1:11" ht="16.5">
      <c r="A202" s="382"/>
      <c r="B202" s="395"/>
      <c r="C202" s="396"/>
      <c r="D202" s="396"/>
      <c r="E202" s="382"/>
      <c r="F202" s="397"/>
      <c r="G202" s="397"/>
      <c r="H202" s="397"/>
      <c r="I202" s="397"/>
      <c r="J202" s="397"/>
      <c r="K202" s="397"/>
    </row>
    <row r="203" spans="1:11" ht="16.5">
      <c r="A203" s="382"/>
      <c r="B203" s="395"/>
      <c r="C203" s="396"/>
      <c r="D203" s="396"/>
      <c r="E203" s="382"/>
      <c r="F203" s="397"/>
      <c r="G203" s="397"/>
      <c r="H203" s="397"/>
      <c r="I203" s="397"/>
      <c r="J203" s="397"/>
      <c r="K203" s="397"/>
    </row>
    <row r="204" spans="1:11" ht="16.5">
      <c r="A204" s="382"/>
      <c r="B204" s="395"/>
      <c r="C204" s="396"/>
      <c r="D204" s="396"/>
      <c r="E204" s="382"/>
      <c r="F204" s="397"/>
      <c r="G204" s="397"/>
      <c r="H204" s="397"/>
      <c r="I204" s="397"/>
      <c r="J204" s="397"/>
      <c r="K204" s="397"/>
    </row>
    <row r="205" spans="1:11" ht="16.5">
      <c r="A205" s="382"/>
      <c r="B205" s="395"/>
      <c r="C205" s="396"/>
      <c r="D205" s="396"/>
      <c r="E205" s="382"/>
      <c r="F205" s="397"/>
      <c r="G205" s="397"/>
      <c r="H205" s="397"/>
      <c r="I205" s="397"/>
      <c r="J205" s="397"/>
      <c r="K205" s="397"/>
    </row>
    <row r="206" spans="1:11" ht="16.5">
      <c r="A206" s="382"/>
      <c r="B206" s="395"/>
      <c r="C206" s="396"/>
      <c r="D206" s="396"/>
      <c r="E206" s="382"/>
      <c r="F206" s="397"/>
      <c r="G206" s="397"/>
      <c r="H206" s="397"/>
      <c r="I206" s="397"/>
      <c r="J206" s="397"/>
      <c r="K206" s="397"/>
    </row>
    <row r="207" spans="1:11" ht="16.5">
      <c r="A207" s="382"/>
      <c r="B207" s="395"/>
      <c r="C207" s="396"/>
      <c r="D207" s="396"/>
      <c r="E207" s="382"/>
      <c r="F207" s="397"/>
      <c r="G207" s="397"/>
      <c r="H207" s="397"/>
      <c r="I207" s="397"/>
      <c r="J207" s="397"/>
      <c r="K207" s="397"/>
    </row>
    <row r="208" spans="1:11" ht="16.5">
      <c r="A208" s="382"/>
      <c r="B208" s="395"/>
      <c r="C208" s="396"/>
      <c r="D208" s="396"/>
      <c r="E208" s="382"/>
      <c r="F208" s="397"/>
      <c r="G208" s="397"/>
      <c r="H208" s="397"/>
      <c r="I208" s="397"/>
      <c r="J208" s="397"/>
      <c r="K208" s="397"/>
    </row>
    <row r="209" spans="1:11" ht="16.5">
      <c r="A209" s="382"/>
      <c r="B209" s="395"/>
      <c r="C209" s="396"/>
      <c r="D209" s="396"/>
      <c r="E209" s="382"/>
      <c r="F209" s="397"/>
      <c r="G209" s="397"/>
      <c r="H209" s="397"/>
      <c r="I209" s="397"/>
      <c r="J209" s="397"/>
      <c r="K209" s="397"/>
    </row>
    <row r="210" spans="1:11" ht="16.5">
      <c r="A210" s="382"/>
      <c r="B210" s="395"/>
      <c r="C210" s="396"/>
      <c r="D210" s="396"/>
      <c r="E210" s="382"/>
      <c r="F210" s="397"/>
      <c r="G210" s="397"/>
      <c r="H210" s="397"/>
      <c r="I210" s="397"/>
      <c r="J210" s="397"/>
      <c r="K210" s="397"/>
    </row>
    <row r="211" spans="1:11" ht="16.5">
      <c r="A211" s="382"/>
      <c r="B211" s="395"/>
      <c r="C211" s="396"/>
      <c r="D211" s="396"/>
      <c r="E211" s="382"/>
      <c r="F211" s="397"/>
      <c r="G211" s="397"/>
      <c r="H211" s="397"/>
      <c r="I211" s="397"/>
      <c r="J211" s="397"/>
      <c r="K211" s="397"/>
    </row>
    <row r="212" spans="1:11" ht="16.5">
      <c r="A212" s="382"/>
      <c r="B212" s="395"/>
      <c r="C212" s="396"/>
      <c r="D212" s="396"/>
      <c r="E212" s="382"/>
      <c r="F212" s="397"/>
      <c r="G212" s="397"/>
      <c r="H212" s="397"/>
      <c r="I212" s="397"/>
      <c r="J212" s="397"/>
      <c r="K212" s="397"/>
    </row>
    <row r="213" spans="1:11" ht="16.5">
      <c r="A213" s="382"/>
      <c r="B213" s="395"/>
      <c r="C213" s="396"/>
      <c r="D213" s="396"/>
      <c r="E213" s="382"/>
      <c r="F213" s="397"/>
      <c r="G213" s="397"/>
      <c r="H213" s="397"/>
      <c r="I213" s="397"/>
      <c r="J213" s="397"/>
      <c r="K213" s="397"/>
    </row>
    <row r="214" spans="1:11" ht="16.5">
      <c r="A214" s="382"/>
      <c r="B214" s="395"/>
      <c r="C214" s="396"/>
      <c r="D214" s="396"/>
      <c r="E214" s="382"/>
      <c r="F214" s="397"/>
      <c r="G214" s="397"/>
      <c r="H214" s="397"/>
      <c r="I214" s="397"/>
      <c r="J214" s="397"/>
      <c r="K214" s="397"/>
    </row>
    <row r="215" spans="1:11" ht="16.5">
      <c r="A215" s="382"/>
      <c r="B215" s="395"/>
      <c r="C215" s="396"/>
      <c r="D215" s="396"/>
      <c r="E215" s="382"/>
      <c r="F215" s="397"/>
      <c r="G215" s="397"/>
      <c r="H215" s="397"/>
      <c r="I215" s="397"/>
      <c r="J215" s="397"/>
      <c r="K215" s="397"/>
    </row>
    <row r="216" spans="1:11" ht="16.5">
      <c r="A216" s="382"/>
      <c r="B216" s="395"/>
      <c r="C216" s="396"/>
      <c r="D216" s="396"/>
      <c r="E216" s="382"/>
      <c r="F216" s="397"/>
      <c r="G216" s="397"/>
      <c r="H216" s="397"/>
      <c r="I216" s="397"/>
      <c r="J216" s="397"/>
      <c r="K216" s="397"/>
    </row>
    <row r="217" spans="1:11" ht="16.5">
      <c r="A217" s="382"/>
      <c r="B217" s="395"/>
      <c r="C217" s="396"/>
      <c r="D217" s="396"/>
      <c r="E217" s="382"/>
      <c r="F217" s="397"/>
      <c r="G217" s="397"/>
      <c r="H217" s="397"/>
      <c r="I217" s="397"/>
      <c r="J217" s="397"/>
      <c r="K217" s="397"/>
    </row>
    <row r="218" spans="1:11" ht="16.5">
      <c r="A218" s="382"/>
      <c r="B218" s="395"/>
      <c r="C218" s="396"/>
      <c r="D218" s="396"/>
      <c r="E218" s="382"/>
      <c r="F218" s="397"/>
      <c r="G218" s="397"/>
      <c r="H218" s="397"/>
      <c r="I218" s="397"/>
      <c r="J218" s="397"/>
      <c r="K218" s="397"/>
    </row>
    <row r="219" spans="1:11" ht="16.5">
      <c r="A219" s="382"/>
      <c r="B219" s="395"/>
      <c r="C219" s="396"/>
      <c r="D219" s="396"/>
      <c r="E219" s="382"/>
      <c r="F219" s="397"/>
      <c r="G219" s="397"/>
      <c r="H219" s="397"/>
      <c r="I219" s="397"/>
      <c r="J219" s="397"/>
      <c r="K219" s="397"/>
    </row>
    <row r="220" spans="1:11" ht="16.5">
      <c r="A220" s="382"/>
      <c r="B220" s="395"/>
      <c r="C220" s="396"/>
      <c r="D220" s="396"/>
      <c r="E220" s="382"/>
      <c r="F220" s="397"/>
      <c r="G220" s="397"/>
      <c r="H220" s="397"/>
      <c r="I220" s="397"/>
      <c r="J220" s="397"/>
      <c r="K220" s="397"/>
    </row>
    <row r="221" spans="1:11" ht="16.5">
      <c r="A221" s="382"/>
      <c r="B221" s="395"/>
      <c r="C221" s="396"/>
      <c r="D221" s="396"/>
      <c r="E221" s="382"/>
      <c r="F221" s="397"/>
      <c r="G221" s="397"/>
      <c r="H221" s="397"/>
      <c r="I221" s="397"/>
      <c r="J221" s="397"/>
      <c r="K221" s="397"/>
    </row>
    <row r="222" spans="1:11" ht="16.5">
      <c r="A222" s="382"/>
      <c r="B222" s="395"/>
      <c r="C222" s="396"/>
      <c r="D222" s="396"/>
      <c r="E222" s="382"/>
      <c r="F222" s="397"/>
      <c r="G222" s="397"/>
      <c r="H222" s="397"/>
      <c r="I222" s="397"/>
      <c r="J222" s="397"/>
      <c r="K222" s="397"/>
    </row>
    <row r="223" spans="1:11" ht="16.5">
      <c r="A223" s="382"/>
      <c r="B223" s="395"/>
      <c r="C223" s="396"/>
      <c r="D223" s="396"/>
      <c r="E223" s="382"/>
      <c r="F223" s="397"/>
      <c r="G223" s="397"/>
      <c r="H223" s="397"/>
      <c r="I223" s="397"/>
      <c r="J223" s="397"/>
      <c r="K223" s="397"/>
    </row>
    <row r="224" spans="1:11" ht="16.5">
      <c r="A224" s="382"/>
      <c r="B224" s="395"/>
      <c r="C224" s="396"/>
      <c r="D224" s="396"/>
      <c r="E224" s="382"/>
      <c r="F224" s="397"/>
      <c r="G224" s="397"/>
      <c r="H224" s="397"/>
      <c r="I224" s="397"/>
      <c r="J224" s="397"/>
      <c r="K224" s="397"/>
    </row>
    <row r="225" spans="1:11" ht="16.5">
      <c r="A225" s="382"/>
      <c r="B225" s="395"/>
      <c r="C225" s="396"/>
      <c r="D225" s="396"/>
      <c r="E225" s="382"/>
      <c r="F225" s="397"/>
      <c r="G225" s="397"/>
      <c r="H225" s="397"/>
      <c r="I225" s="397"/>
      <c r="J225" s="397"/>
      <c r="K225" s="397"/>
    </row>
    <row r="226" spans="1:11" ht="16.5">
      <c r="A226" s="382"/>
      <c r="B226" s="395"/>
      <c r="C226" s="396"/>
      <c r="D226" s="396"/>
      <c r="E226" s="382"/>
      <c r="F226" s="397"/>
      <c r="G226" s="397"/>
      <c r="H226" s="397"/>
      <c r="I226" s="397"/>
      <c r="J226" s="397"/>
      <c r="K226" s="397"/>
    </row>
    <row r="227" spans="1:11" ht="16.5">
      <c r="A227" s="382"/>
      <c r="B227" s="395"/>
      <c r="C227" s="396"/>
      <c r="D227" s="396"/>
      <c r="E227" s="382"/>
      <c r="F227" s="397"/>
      <c r="G227" s="397"/>
      <c r="H227" s="397"/>
      <c r="I227" s="397"/>
      <c r="J227" s="397"/>
      <c r="K227" s="397"/>
    </row>
    <row r="228" spans="1:11" ht="16.5">
      <c r="A228" s="382"/>
      <c r="B228" s="395"/>
      <c r="C228" s="396"/>
      <c r="D228" s="396"/>
      <c r="E228" s="382"/>
      <c r="F228" s="397"/>
      <c r="G228" s="397"/>
      <c r="H228" s="397"/>
      <c r="I228" s="397"/>
      <c r="J228" s="397"/>
      <c r="K228" s="397"/>
    </row>
    <row r="229" spans="1:11" ht="16.5">
      <c r="A229" s="382"/>
      <c r="B229" s="395"/>
      <c r="C229" s="396"/>
      <c r="D229" s="396"/>
      <c r="E229" s="382"/>
      <c r="F229" s="397"/>
      <c r="G229" s="397"/>
      <c r="H229" s="397"/>
      <c r="I229" s="397"/>
      <c r="J229" s="397"/>
      <c r="K229" s="397"/>
    </row>
    <row r="230" spans="1:11" ht="16.5">
      <c r="A230" s="382"/>
      <c r="B230" s="395"/>
      <c r="C230" s="396"/>
      <c r="D230" s="396"/>
      <c r="E230" s="382"/>
      <c r="F230" s="397"/>
      <c r="G230" s="397"/>
      <c r="H230" s="397"/>
      <c r="I230" s="397"/>
      <c r="J230" s="397"/>
      <c r="K230" s="397"/>
    </row>
    <row r="231" spans="1:11" ht="16.5">
      <c r="A231" s="382"/>
      <c r="B231" s="395"/>
      <c r="C231" s="396"/>
      <c r="D231" s="396"/>
      <c r="E231" s="382"/>
      <c r="F231" s="397"/>
      <c r="G231" s="397"/>
      <c r="H231" s="397"/>
      <c r="I231" s="397"/>
      <c r="J231" s="397"/>
      <c r="K231" s="397"/>
    </row>
    <row r="232" spans="1:11" ht="16.5">
      <c r="A232" s="382"/>
      <c r="B232" s="395"/>
      <c r="C232" s="396"/>
      <c r="D232" s="396"/>
      <c r="E232" s="382"/>
      <c r="F232" s="397"/>
      <c r="G232" s="397"/>
      <c r="H232" s="397"/>
      <c r="I232" s="397"/>
      <c r="J232" s="397"/>
      <c r="K232" s="397"/>
    </row>
    <row r="233" spans="1:11" ht="16.5">
      <c r="A233" s="382"/>
      <c r="B233" s="395"/>
      <c r="C233" s="396"/>
      <c r="D233" s="396"/>
      <c r="E233" s="382"/>
      <c r="F233" s="397"/>
      <c r="G233" s="397"/>
      <c r="H233" s="397"/>
      <c r="I233" s="397"/>
      <c r="J233" s="397"/>
      <c r="K233" s="397"/>
    </row>
    <row r="234" spans="1:11" ht="16.5">
      <c r="A234" s="382"/>
      <c r="B234" s="395"/>
      <c r="C234" s="396"/>
      <c r="D234" s="396"/>
      <c r="E234" s="382"/>
      <c r="F234" s="397"/>
      <c r="G234" s="397"/>
      <c r="H234" s="397"/>
      <c r="I234" s="397"/>
      <c r="J234" s="397"/>
      <c r="K234" s="397"/>
    </row>
    <row r="235" spans="1:11" ht="16.5">
      <c r="A235" s="382"/>
      <c r="B235" s="395"/>
      <c r="C235" s="396"/>
      <c r="D235" s="396"/>
      <c r="E235" s="382"/>
      <c r="F235" s="397"/>
      <c r="G235" s="397"/>
      <c r="H235" s="397"/>
      <c r="I235" s="397"/>
      <c r="J235" s="397"/>
      <c r="K235" s="397"/>
    </row>
    <row r="236" spans="1:11" ht="16.5">
      <c r="A236" s="382"/>
      <c r="B236" s="395"/>
      <c r="C236" s="396"/>
      <c r="D236" s="396"/>
      <c r="E236" s="382"/>
      <c r="F236" s="397"/>
      <c r="G236" s="397"/>
      <c r="H236" s="397"/>
      <c r="I236" s="397"/>
      <c r="J236" s="397"/>
      <c r="K236" s="397"/>
    </row>
    <row r="237" spans="1:11" ht="16.5">
      <c r="A237" s="382"/>
      <c r="B237" s="395"/>
      <c r="C237" s="396"/>
      <c r="D237" s="396"/>
      <c r="E237" s="382"/>
      <c r="F237" s="397"/>
      <c r="G237" s="397"/>
      <c r="H237" s="397"/>
      <c r="I237" s="397"/>
      <c r="J237" s="397"/>
      <c r="K237" s="397"/>
    </row>
    <row r="238" spans="1:11" ht="16.5">
      <c r="A238" s="382"/>
      <c r="B238" s="395"/>
      <c r="C238" s="396"/>
      <c r="D238" s="396"/>
      <c r="E238" s="382"/>
      <c r="F238" s="397"/>
      <c r="G238" s="397"/>
      <c r="H238" s="397"/>
      <c r="I238" s="397"/>
      <c r="J238" s="397"/>
      <c r="K238" s="397"/>
    </row>
    <row r="239" spans="1:11" ht="16.5">
      <c r="A239" s="382"/>
      <c r="B239" s="395"/>
      <c r="C239" s="396"/>
      <c r="D239" s="396"/>
      <c r="E239" s="382"/>
      <c r="F239" s="397"/>
      <c r="G239" s="397"/>
      <c r="H239" s="397"/>
      <c r="I239" s="397"/>
      <c r="J239" s="397"/>
      <c r="K239" s="397"/>
    </row>
    <row r="240" spans="1:11" ht="16.5">
      <c r="A240" s="382"/>
      <c r="B240" s="395"/>
      <c r="C240" s="396"/>
      <c r="D240" s="396"/>
      <c r="E240" s="382"/>
      <c r="F240" s="397"/>
      <c r="G240" s="397"/>
      <c r="H240" s="397"/>
      <c r="I240" s="397"/>
      <c r="J240" s="397"/>
      <c r="K240" s="397"/>
    </row>
    <row r="241" spans="1:11" ht="16.5">
      <c r="A241" s="382"/>
      <c r="B241" s="395"/>
      <c r="C241" s="396"/>
      <c r="D241" s="396"/>
      <c r="E241" s="382"/>
      <c r="F241" s="397"/>
      <c r="G241" s="397"/>
      <c r="H241" s="397"/>
      <c r="I241" s="397"/>
      <c r="J241" s="397"/>
      <c r="K241" s="397"/>
    </row>
    <row r="242" spans="1:11" ht="16.5">
      <c r="A242" s="382"/>
      <c r="B242" s="395"/>
      <c r="C242" s="396"/>
      <c r="D242" s="396"/>
      <c r="E242" s="382"/>
      <c r="F242" s="397"/>
      <c r="G242" s="397"/>
      <c r="H242" s="397"/>
      <c r="I242" s="397"/>
      <c r="J242" s="397"/>
      <c r="K242" s="397"/>
    </row>
    <row r="243" spans="1:11" ht="16.5">
      <c r="A243" s="382"/>
      <c r="B243" s="395"/>
      <c r="C243" s="396"/>
      <c r="D243" s="396"/>
      <c r="E243" s="382"/>
      <c r="F243" s="397"/>
      <c r="G243" s="397"/>
      <c r="H243" s="397"/>
      <c r="I243" s="397"/>
      <c r="J243" s="397"/>
      <c r="K243" s="397"/>
    </row>
    <row r="244" spans="1:11" ht="16.5">
      <c r="A244" s="382"/>
      <c r="B244" s="395"/>
      <c r="C244" s="396"/>
      <c r="D244" s="396"/>
      <c r="E244" s="382"/>
      <c r="F244" s="397"/>
      <c r="G244" s="397"/>
      <c r="H244" s="397"/>
      <c r="I244" s="397"/>
      <c r="J244" s="397"/>
      <c r="K244" s="397"/>
    </row>
    <row r="245" spans="1:11" ht="16.5">
      <c r="A245" s="382"/>
      <c r="B245" s="395"/>
      <c r="C245" s="396"/>
      <c r="D245" s="396"/>
      <c r="E245" s="382"/>
      <c r="F245" s="397"/>
      <c r="G245" s="397"/>
      <c r="H245" s="397"/>
      <c r="I245" s="397"/>
      <c r="J245" s="397"/>
      <c r="K245" s="397"/>
    </row>
    <row r="246" spans="1:11" ht="16.5">
      <c r="A246" s="382"/>
      <c r="B246" s="395"/>
      <c r="C246" s="396"/>
      <c r="D246" s="396"/>
      <c r="E246" s="382"/>
      <c r="F246" s="397"/>
      <c r="G246" s="397"/>
      <c r="H246" s="397"/>
      <c r="I246" s="397"/>
      <c r="J246" s="397"/>
      <c r="K246" s="397"/>
    </row>
    <row r="247" spans="1:11" ht="16.5">
      <c r="A247" s="382"/>
      <c r="B247" s="395"/>
      <c r="C247" s="396"/>
      <c r="D247" s="396"/>
      <c r="E247" s="382"/>
      <c r="F247" s="397"/>
      <c r="G247" s="397"/>
      <c r="H247" s="397"/>
      <c r="I247" s="397"/>
      <c r="J247" s="397"/>
      <c r="K247" s="397"/>
    </row>
    <row r="248" spans="1:11" ht="16.5">
      <c r="A248" s="382"/>
      <c r="B248" s="395"/>
      <c r="C248" s="396"/>
      <c r="D248" s="396"/>
      <c r="E248" s="382"/>
      <c r="F248" s="397"/>
      <c r="G248" s="397"/>
      <c r="H248" s="397"/>
      <c r="I248" s="397"/>
      <c r="J248" s="397"/>
      <c r="K248" s="397"/>
    </row>
    <row r="249" spans="1:11" ht="16.5">
      <c r="A249" s="382"/>
      <c r="B249" s="395"/>
      <c r="C249" s="396"/>
      <c r="D249" s="396"/>
      <c r="E249" s="382"/>
      <c r="F249" s="397"/>
      <c r="G249" s="397"/>
      <c r="H249" s="397"/>
      <c r="I249" s="397"/>
      <c r="J249" s="397"/>
      <c r="K249" s="397"/>
    </row>
  </sheetData>
  <sheetProtection/>
  <mergeCells count="5">
    <mergeCell ref="B27:E27"/>
    <mergeCell ref="J1:K1"/>
    <mergeCell ref="B2:K2"/>
    <mergeCell ref="A3:K3"/>
    <mergeCell ref="A4:K4"/>
  </mergeCells>
  <printOptions horizontalCentered="1"/>
  <pageMargins left="0" right="0" top="0.5905511811023623" bottom="0.5905511811023623" header="0.5118110236220472" footer="0.35433070866141736"/>
  <pageSetup fitToHeight="0" fitToWidth="1" horizontalDpi="600" verticalDpi="600" orientation="landscape" paperSize="9" scale="86" r:id="rId1"/>
  <headerFooter alignWithMargins="0">
    <oddFooter>&amp;R&amp;"Times New Roman,Regular"&amp;12&amp;P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9"/>
  <sheetViews>
    <sheetView zoomScale="70" zoomScaleNormal="70" zoomScalePageLayoutView="0" workbookViewId="0" topLeftCell="A1">
      <selection activeCell="M9" sqref="M9"/>
    </sheetView>
  </sheetViews>
  <sheetFormatPr defaultColWidth="9.140625" defaultRowHeight="12.75"/>
  <cols>
    <col min="1" max="1" width="5.57421875" style="351" customWidth="1"/>
    <col min="2" max="2" width="37.421875" style="347" customWidth="1"/>
    <col min="3" max="3" width="15.421875" style="348" customWidth="1"/>
    <col min="4" max="4" width="14.8515625" style="348" customWidth="1"/>
    <col min="5" max="7" width="12.140625" style="331" customWidth="1"/>
    <col min="8" max="8" width="14.140625" style="331" customWidth="1"/>
    <col min="9" max="9" width="15.00390625" style="331" customWidth="1"/>
    <col min="10" max="10" width="18.57421875" style="331" customWidth="1"/>
    <col min="11" max="11" width="5.8515625" style="331" customWidth="1"/>
    <col min="12" max="16384" width="9.140625" style="331" customWidth="1"/>
  </cols>
  <sheetData>
    <row r="1" spans="1:10" ht="36.75" customHeight="1">
      <c r="A1" s="331"/>
      <c r="H1" s="365" t="s">
        <v>702</v>
      </c>
      <c r="I1" s="1796" t="s">
        <v>704</v>
      </c>
      <c r="J1" s="1796"/>
    </row>
    <row r="2" spans="1:10" ht="36.75" customHeight="1">
      <c r="A2" s="331"/>
      <c r="B2" s="1764" t="s">
        <v>351</v>
      </c>
      <c r="C2" s="1764"/>
      <c r="D2" s="1764"/>
      <c r="E2" s="1764"/>
      <c r="F2" s="1764"/>
      <c r="G2" s="1764"/>
      <c r="H2" s="1764"/>
      <c r="I2" s="1764"/>
      <c r="J2" s="1764"/>
    </row>
    <row r="3" spans="1:10" ht="21" customHeight="1">
      <c r="A3" s="1765" t="s">
        <v>326</v>
      </c>
      <c r="B3" s="1765"/>
      <c r="C3" s="1765"/>
      <c r="D3" s="1765"/>
      <c r="E3" s="1765"/>
      <c r="F3" s="1765"/>
      <c r="G3" s="1765"/>
      <c r="H3" s="1765"/>
      <c r="I3" s="1765"/>
      <c r="J3" s="1765"/>
    </row>
    <row r="4" spans="1:10" ht="38.25" customHeight="1">
      <c r="A4" s="1765" t="s">
        <v>721</v>
      </c>
      <c r="B4" s="1765"/>
      <c r="C4" s="1765"/>
      <c r="D4" s="1765"/>
      <c r="E4" s="1765"/>
      <c r="F4" s="1765"/>
      <c r="G4" s="1765"/>
      <c r="H4" s="1765"/>
      <c r="I4" s="1765"/>
      <c r="J4" s="1765"/>
    </row>
    <row r="5" spans="1:10" ht="16.5">
      <c r="A5" s="382"/>
      <c r="B5" s="395"/>
      <c r="C5" s="396"/>
      <c r="D5" s="396"/>
      <c r="E5" s="397"/>
      <c r="F5" s="397"/>
      <c r="G5" s="397"/>
      <c r="H5" s="397"/>
      <c r="I5" s="397"/>
      <c r="J5" s="397"/>
    </row>
    <row r="6" spans="1:10" s="349" customFormat="1" ht="83.25" customHeight="1">
      <c r="A6" s="406" t="s">
        <v>0</v>
      </c>
      <c r="B6" s="406" t="s">
        <v>211</v>
      </c>
      <c r="C6" s="406" t="s">
        <v>104</v>
      </c>
      <c r="D6" s="383" t="s">
        <v>694</v>
      </c>
      <c r="E6" s="383" t="s">
        <v>695</v>
      </c>
      <c r="F6" s="383" t="s">
        <v>696</v>
      </c>
      <c r="G6" s="383" t="s">
        <v>697</v>
      </c>
      <c r="H6" s="383" t="s">
        <v>698</v>
      </c>
      <c r="I6" s="383" t="s">
        <v>699</v>
      </c>
      <c r="J6" s="383" t="s">
        <v>700</v>
      </c>
    </row>
    <row r="7" spans="1:22" ht="52.5" customHeight="1">
      <c r="A7" s="389">
        <v>1</v>
      </c>
      <c r="B7" s="392" t="s">
        <v>284</v>
      </c>
      <c r="C7" s="409" t="s">
        <v>289</v>
      </c>
      <c r="D7" s="388"/>
      <c r="E7" s="412"/>
      <c r="F7" s="412"/>
      <c r="G7" s="412"/>
      <c r="H7" s="412"/>
      <c r="I7" s="412"/>
      <c r="J7" s="389"/>
      <c r="K7" s="354"/>
      <c r="M7" s="352"/>
      <c r="N7" s="354"/>
      <c r="P7" s="352"/>
      <c r="Q7" s="354"/>
      <c r="S7" s="352"/>
      <c r="T7" s="354"/>
      <c r="V7" s="352"/>
    </row>
    <row r="8" spans="1:22" ht="52.5" customHeight="1">
      <c r="A8" s="389">
        <v>2</v>
      </c>
      <c r="B8" s="392" t="s">
        <v>285</v>
      </c>
      <c r="C8" s="409" t="s">
        <v>289</v>
      </c>
      <c r="D8" s="388"/>
      <c r="E8" s="412"/>
      <c r="F8" s="413"/>
      <c r="G8" s="413"/>
      <c r="H8" s="413"/>
      <c r="I8" s="413"/>
      <c r="J8" s="389"/>
      <c r="K8" s="354"/>
      <c r="M8" s="352"/>
      <c r="N8" s="354"/>
      <c r="P8" s="352"/>
      <c r="Q8" s="354"/>
      <c r="S8" s="352"/>
      <c r="T8" s="354"/>
      <c r="V8" s="352"/>
    </row>
    <row r="9" spans="1:22" ht="52.5" customHeight="1">
      <c r="A9" s="389">
        <v>3</v>
      </c>
      <c r="B9" s="392" t="s">
        <v>286</v>
      </c>
      <c r="C9" s="409" t="s">
        <v>215</v>
      </c>
      <c r="D9" s="388"/>
      <c r="E9" s="412"/>
      <c r="F9" s="412"/>
      <c r="G9" s="412"/>
      <c r="H9" s="412"/>
      <c r="I9" s="412"/>
      <c r="J9" s="389"/>
      <c r="K9" s="354"/>
      <c r="M9" s="352"/>
      <c r="N9" s="354"/>
      <c r="P9" s="352"/>
      <c r="Q9" s="354"/>
      <c r="S9" s="352"/>
      <c r="T9" s="354"/>
      <c r="V9" s="352"/>
    </row>
    <row r="10" spans="1:10" ht="52.5" customHeight="1">
      <c r="A10" s="389">
        <v>4</v>
      </c>
      <c r="B10" s="410" t="s">
        <v>287</v>
      </c>
      <c r="C10" s="409" t="s">
        <v>289</v>
      </c>
      <c r="D10" s="388"/>
      <c r="E10" s="412"/>
      <c r="F10" s="412"/>
      <c r="G10" s="412"/>
      <c r="H10" s="412"/>
      <c r="I10" s="412"/>
      <c r="J10" s="389"/>
    </row>
    <row r="11" spans="1:10" ht="52.5" customHeight="1">
      <c r="A11" s="389">
        <v>5</v>
      </c>
      <c r="B11" s="410" t="s">
        <v>288</v>
      </c>
      <c r="C11" s="409" t="s">
        <v>289</v>
      </c>
      <c r="D11" s="388"/>
      <c r="E11" s="412"/>
      <c r="F11" s="412"/>
      <c r="G11" s="412"/>
      <c r="H11" s="412"/>
      <c r="I11" s="412"/>
      <c r="J11" s="389"/>
    </row>
    <row r="12" spans="1:10" ht="16.5">
      <c r="A12" s="382"/>
      <c r="B12" s="395"/>
      <c r="C12" s="396"/>
      <c r="D12" s="396"/>
      <c r="E12" s="397"/>
      <c r="F12" s="397"/>
      <c r="G12" s="397"/>
      <c r="H12" s="397"/>
      <c r="I12" s="397"/>
      <c r="J12" s="397"/>
    </row>
    <row r="13" spans="1:10" ht="16.5">
      <c r="A13" s="382"/>
      <c r="B13" s="1770"/>
      <c r="C13" s="1770"/>
      <c r="D13" s="1770"/>
      <c r="E13" s="397"/>
      <c r="F13" s="397"/>
      <c r="G13" s="397"/>
      <c r="H13" s="397"/>
      <c r="I13" s="397"/>
      <c r="J13" s="397"/>
    </row>
    <row r="14" spans="1:10" ht="16.5">
      <c r="A14" s="382"/>
      <c r="B14" s="395"/>
      <c r="C14" s="396"/>
      <c r="D14" s="396"/>
      <c r="E14" s="397"/>
      <c r="F14" s="397"/>
      <c r="G14" s="397"/>
      <c r="H14" s="397"/>
      <c r="I14" s="397"/>
      <c r="J14" s="397"/>
    </row>
    <row r="15" spans="1:10" ht="16.5">
      <c r="A15" s="382"/>
      <c r="B15" s="395"/>
      <c r="C15" s="396"/>
      <c r="D15" s="396"/>
      <c r="E15" s="397"/>
      <c r="F15" s="397"/>
      <c r="G15" s="397"/>
      <c r="H15" s="397"/>
      <c r="I15" s="397"/>
      <c r="J15" s="397"/>
    </row>
    <row r="16" spans="1:10" ht="16.5">
      <c r="A16" s="382"/>
      <c r="B16" s="395"/>
      <c r="C16" s="396"/>
      <c r="D16" s="396"/>
      <c r="E16" s="397"/>
      <c r="F16" s="397"/>
      <c r="G16" s="397"/>
      <c r="H16" s="397"/>
      <c r="I16" s="397"/>
      <c r="J16" s="397"/>
    </row>
    <row r="17" spans="1:10" ht="16.5">
      <c r="A17" s="382"/>
      <c r="B17" s="395"/>
      <c r="C17" s="396"/>
      <c r="D17" s="396"/>
      <c r="E17" s="397"/>
      <c r="F17" s="397"/>
      <c r="G17" s="397"/>
      <c r="H17" s="397"/>
      <c r="I17" s="397"/>
      <c r="J17" s="397"/>
    </row>
    <row r="18" spans="1:10" ht="16.5">
      <c r="A18" s="382"/>
      <c r="B18" s="395"/>
      <c r="C18" s="396"/>
      <c r="D18" s="396"/>
      <c r="E18" s="397"/>
      <c r="F18" s="397"/>
      <c r="G18" s="397"/>
      <c r="H18" s="397"/>
      <c r="I18" s="397"/>
      <c r="J18" s="397"/>
    </row>
    <row r="19" spans="1:10" ht="16.5">
      <c r="A19" s="382"/>
      <c r="B19" s="395"/>
      <c r="C19" s="396"/>
      <c r="D19" s="396"/>
      <c r="E19" s="397"/>
      <c r="F19" s="397"/>
      <c r="G19" s="397"/>
      <c r="H19" s="397"/>
      <c r="I19" s="397"/>
      <c r="J19" s="397"/>
    </row>
    <row r="20" spans="1:22" ht="16.5">
      <c r="A20" s="382"/>
      <c r="B20" s="411"/>
      <c r="C20" s="396"/>
      <c r="D20" s="396"/>
      <c r="E20" s="408"/>
      <c r="F20" s="397"/>
      <c r="G20" s="397"/>
      <c r="H20" s="397"/>
      <c r="I20" s="397"/>
      <c r="J20" s="382"/>
      <c r="K20" s="354"/>
      <c r="M20" s="352"/>
      <c r="N20" s="354"/>
      <c r="P20" s="352"/>
      <c r="Q20" s="354"/>
      <c r="S20" s="352"/>
      <c r="T20" s="354"/>
      <c r="V20" s="352"/>
    </row>
    <row r="21" spans="1:20" ht="16.5">
      <c r="A21" s="382"/>
      <c r="B21" s="395"/>
      <c r="C21" s="396"/>
      <c r="D21" s="396"/>
      <c r="E21" s="408"/>
      <c r="F21" s="397"/>
      <c r="G21" s="397"/>
      <c r="H21" s="397"/>
      <c r="I21" s="397"/>
      <c r="J21" s="382"/>
      <c r="K21" s="354"/>
      <c r="M21" s="352"/>
      <c r="N21" s="354"/>
      <c r="P21" s="352"/>
      <c r="Q21" s="354"/>
      <c r="S21" s="352"/>
      <c r="T21" s="354"/>
    </row>
    <row r="22" spans="1:22" ht="16.5">
      <c r="A22" s="382"/>
      <c r="B22" s="411"/>
      <c r="C22" s="396"/>
      <c r="D22" s="396"/>
      <c r="E22" s="408"/>
      <c r="F22" s="397"/>
      <c r="G22" s="397"/>
      <c r="H22" s="397"/>
      <c r="I22" s="397"/>
      <c r="J22" s="382"/>
      <c r="K22" s="354"/>
      <c r="M22" s="352"/>
      <c r="N22" s="354"/>
      <c r="P22" s="352"/>
      <c r="Q22" s="354"/>
      <c r="S22" s="352"/>
      <c r="T22" s="354"/>
      <c r="V22" s="352"/>
    </row>
    <row r="23" spans="1:20" ht="16.5">
      <c r="A23" s="382"/>
      <c r="B23" s="395"/>
      <c r="C23" s="396"/>
      <c r="D23" s="396"/>
      <c r="E23" s="397"/>
      <c r="F23" s="397"/>
      <c r="G23" s="397"/>
      <c r="H23" s="397"/>
      <c r="I23" s="397"/>
      <c r="J23" s="397"/>
      <c r="K23" s="354"/>
      <c r="M23" s="352"/>
      <c r="N23" s="354"/>
      <c r="P23" s="352"/>
      <c r="Q23" s="354"/>
      <c r="S23" s="352"/>
      <c r="T23" s="354"/>
    </row>
    <row r="24" spans="1:22" ht="16.5">
      <c r="A24" s="382"/>
      <c r="B24" s="411"/>
      <c r="C24" s="396"/>
      <c r="D24" s="396"/>
      <c r="E24" s="408"/>
      <c r="F24" s="397"/>
      <c r="G24" s="397"/>
      <c r="H24" s="397"/>
      <c r="I24" s="397"/>
      <c r="J24" s="397"/>
      <c r="K24" s="354"/>
      <c r="M24" s="352"/>
      <c r="N24" s="354"/>
      <c r="P24" s="352"/>
      <c r="Q24" s="354"/>
      <c r="S24" s="352"/>
      <c r="T24" s="354"/>
      <c r="V24" s="352"/>
    </row>
    <row r="25" spans="1:10" ht="16.5">
      <c r="A25" s="382"/>
      <c r="B25" s="395"/>
      <c r="C25" s="396"/>
      <c r="D25" s="396"/>
      <c r="E25" s="397"/>
      <c r="F25" s="397"/>
      <c r="G25" s="397"/>
      <c r="H25" s="397"/>
      <c r="I25" s="397"/>
      <c r="J25" s="397"/>
    </row>
    <row r="26" spans="1:10" ht="16.5">
      <c r="A26" s="382"/>
      <c r="B26" s="395"/>
      <c r="C26" s="396"/>
      <c r="D26" s="396"/>
      <c r="E26" s="397"/>
      <c r="F26" s="397"/>
      <c r="G26" s="397"/>
      <c r="H26" s="397"/>
      <c r="I26" s="397"/>
      <c r="J26" s="397"/>
    </row>
    <row r="27" spans="1:10" ht="16.5">
      <c r="A27" s="382"/>
      <c r="B27" s="395"/>
      <c r="C27" s="396"/>
      <c r="D27" s="396"/>
      <c r="E27" s="397"/>
      <c r="F27" s="397"/>
      <c r="G27" s="397"/>
      <c r="H27" s="397"/>
      <c r="I27" s="397"/>
      <c r="J27" s="397"/>
    </row>
    <row r="28" spans="1:10" ht="16.5">
      <c r="A28" s="382"/>
      <c r="B28" s="395"/>
      <c r="C28" s="396"/>
      <c r="D28" s="396"/>
      <c r="E28" s="397"/>
      <c r="F28" s="397"/>
      <c r="G28" s="397"/>
      <c r="H28" s="397"/>
      <c r="I28" s="397"/>
      <c r="J28" s="397"/>
    </row>
    <row r="29" spans="1:10" ht="16.5">
      <c r="A29" s="382"/>
      <c r="B29" s="395"/>
      <c r="C29" s="396"/>
      <c r="D29" s="396"/>
      <c r="E29" s="397"/>
      <c r="F29" s="397"/>
      <c r="G29" s="397"/>
      <c r="H29" s="397"/>
      <c r="I29" s="397"/>
      <c r="J29" s="397"/>
    </row>
    <row r="30" spans="1:10" ht="16.5">
      <c r="A30" s="382"/>
      <c r="B30" s="395"/>
      <c r="C30" s="396"/>
      <c r="D30" s="396"/>
      <c r="E30" s="397"/>
      <c r="F30" s="397"/>
      <c r="G30" s="397"/>
      <c r="H30" s="397"/>
      <c r="I30" s="397"/>
      <c r="J30" s="397"/>
    </row>
    <row r="31" spans="1:10" ht="16.5">
      <c r="A31" s="382"/>
      <c r="B31" s="395"/>
      <c r="C31" s="396"/>
      <c r="D31" s="396"/>
      <c r="E31" s="397"/>
      <c r="F31" s="397"/>
      <c r="G31" s="397"/>
      <c r="H31" s="397"/>
      <c r="I31" s="397"/>
      <c r="J31" s="397"/>
    </row>
    <row r="32" spans="1:10" ht="16.5">
      <c r="A32" s="382"/>
      <c r="B32" s="395"/>
      <c r="C32" s="396"/>
      <c r="D32" s="396"/>
      <c r="E32" s="397"/>
      <c r="F32" s="397"/>
      <c r="G32" s="397"/>
      <c r="H32" s="397"/>
      <c r="I32" s="397"/>
      <c r="J32" s="397"/>
    </row>
    <row r="33" spans="1:10" ht="16.5">
      <c r="A33" s="382"/>
      <c r="B33" s="395"/>
      <c r="C33" s="396"/>
      <c r="D33" s="396"/>
      <c r="E33" s="397"/>
      <c r="F33" s="397"/>
      <c r="G33" s="397"/>
      <c r="H33" s="397"/>
      <c r="I33" s="397"/>
      <c r="J33" s="397"/>
    </row>
    <row r="34" spans="1:10" ht="16.5">
      <c r="A34" s="382"/>
      <c r="B34" s="395"/>
      <c r="C34" s="396"/>
      <c r="D34" s="396"/>
      <c r="E34" s="397"/>
      <c r="F34" s="397"/>
      <c r="G34" s="397"/>
      <c r="H34" s="397"/>
      <c r="I34" s="397"/>
      <c r="J34" s="397"/>
    </row>
    <row r="35" spans="1:10" ht="12.75" customHeight="1">
      <c r="A35" s="382"/>
      <c r="B35" s="395"/>
      <c r="C35" s="396"/>
      <c r="D35" s="396"/>
      <c r="E35" s="397"/>
      <c r="F35" s="397"/>
      <c r="G35" s="397"/>
      <c r="H35" s="397"/>
      <c r="I35" s="397"/>
      <c r="J35" s="397"/>
    </row>
    <row r="36" spans="1:10" ht="16.5">
      <c r="A36" s="382"/>
      <c r="B36" s="395"/>
      <c r="C36" s="396"/>
      <c r="D36" s="396"/>
      <c r="E36" s="397"/>
      <c r="F36" s="397"/>
      <c r="G36" s="397"/>
      <c r="H36" s="397"/>
      <c r="I36" s="397"/>
      <c r="J36" s="397"/>
    </row>
    <row r="37" spans="1:22" ht="16.5">
      <c r="A37" s="382"/>
      <c r="B37" s="411"/>
      <c r="C37" s="396"/>
      <c r="D37" s="396"/>
      <c r="E37" s="408"/>
      <c r="F37" s="397"/>
      <c r="G37" s="397"/>
      <c r="H37" s="397"/>
      <c r="I37" s="397"/>
      <c r="J37" s="397"/>
      <c r="K37" s="354"/>
      <c r="M37" s="352"/>
      <c r="N37" s="354"/>
      <c r="P37" s="352"/>
      <c r="Q37" s="354"/>
      <c r="S37" s="352"/>
      <c r="T37" s="354"/>
      <c r="V37" s="352"/>
    </row>
    <row r="38" spans="1:10" ht="16.5">
      <c r="A38" s="382"/>
      <c r="B38" s="395"/>
      <c r="C38" s="396"/>
      <c r="D38" s="396"/>
      <c r="E38" s="397"/>
      <c r="F38" s="397"/>
      <c r="G38" s="397"/>
      <c r="H38" s="397"/>
      <c r="I38" s="397"/>
      <c r="J38" s="397"/>
    </row>
    <row r="39" spans="1:10" ht="16.5">
      <c r="A39" s="382"/>
      <c r="B39" s="395"/>
      <c r="C39" s="396"/>
      <c r="D39" s="396"/>
      <c r="E39" s="397"/>
      <c r="F39" s="397"/>
      <c r="G39" s="397"/>
      <c r="H39" s="397"/>
      <c r="I39" s="397"/>
      <c r="J39" s="397"/>
    </row>
    <row r="40" spans="1:10" ht="16.5">
      <c r="A40" s="382"/>
      <c r="B40" s="395"/>
      <c r="C40" s="396"/>
      <c r="D40" s="396"/>
      <c r="E40" s="397"/>
      <c r="F40" s="397"/>
      <c r="G40" s="397"/>
      <c r="H40" s="397"/>
      <c r="I40" s="397"/>
      <c r="J40" s="397"/>
    </row>
    <row r="41" spans="1:10" ht="16.5">
      <c r="A41" s="382"/>
      <c r="B41" s="395"/>
      <c r="C41" s="396"/>
      <c r="D41" s="396"/>
      <c r="E41" s="397"/>
      <c r="F41" s="397"/>
      <c r="G41" s="397"/>
      <c r="H41" s="397"/>
      <c r="I41" s="397"/>
      <c r="J41" s="397"/>
    </row>
    <row r="42" spans="1:10" ht="16.5">
      <c r="A42" s="382"/>
      <c r="B42" s="395"/>
      <c r="C42" s="396"/>
      <c r="D42" s="396"/>
      <c r="E42" s="397"/>
      <c r="F42" s="397"/>
      <c r="G42" s="397"/>
      <c r="H42" s="397"/>
      <c r="I42" s="397"/>
      <c r="J42" s="397"/>
    </row>
    <row r="43" spans="1:10" ht="16.5">
      <c r="A43" s="382"/>
      <c r="B43" s="395"/>
      <c r="C43" s="396"/>
      <c r="D43" s="396"/>
      <c r="E43" s="397"/>
      <c r="F43" s="397"/>
      <c r="G43" s="397"/>
      <c r="H43" s="397"/>
      <c r="I43" s="397"/>
      <c r="J43" s="397"/>
    </row>
    <row r="44" spans="1:10" ht="16.5">
      <c r="A44" s="382"/>
      <c r="B44" s="395"/>
      <c r="C44" s="396"/>
      <c r="D44" s="396"/>
      <c r="E44" s="397"/>
      <c r="F44" s="397"/>
      <c r="G44" s="397"/>
      <c r="H44" s="397"/>
      <c r="I44" s="397"/>
      <c r="J44" s="397"/>
    </row>
    <row r="45" spans="1:10" ht="16.5">
      <c r="A45" s="382"/>
      <c r="B45" s="395"/>
      <c r="C45" s="396"/>
      <c r="D45" s="396"/>
      <c r="E45" s="397"/>
      <c r="F45" s="397"/>
      <c r="G45" s="397"/>
      <c r="H45" s="397"/>
      <c r="I45" s="397"/>
      <c r="J45" s="397"/>
    </row>
    <row r="46" spans="1:10" ht="16.5">
      <c r="A46" s="382"/>
      <c r="B46" s="395"/>
      <c r="C46" s="396"/>
      <c r="D46" s="396"/>
      <c r="E46" s="397"/>
      <c r="F46" s="397"/>
      <c r="G46" s="397"/>
      <c r="H46" s="397"/>
      <c r="I46" s="397"/>
      <c r="J46" s="397"/>
    </row>
    <row r="47" spans="1:10" ht="16.5">
      <c r="A47" s="382"/>
      <c r="B47" s="395"/>
      <c r="C47" s="396"/>
      <c r="D47" s="396"/>
      <c r="E47" s="397"/>
      <c r="F47" s="397"/>
      <c r="G47" s="397"/>
      <c r="H47" s="397"/>
      <c r="I47" s="397"/>
      <c r="J47" s="397"/>
    </row>
    <row r="48" spans="1:10" ht="16.5">
      <c r="A48" s="382"/>
      <c r="B48" s="395"/>
      <c r="C48" s="396"/>
      <c r="D48" s="396"/>
      <c r="E48" s="397"/>
      <c r="F48" s="397"/>
      <c r="G48" s="397"/>
      <c r="H48" s="397"/>
      <c r="I48" s="397"/>
      <c r="J48" s="397"/>
    </row>
    <row r="49" spans="1:10" ht="16.5">
      <c r="A49" s="382"/>
      <c r="B49" s="395"/>
      <c r="C49" s="396"/>
      <c r="D49" s="396"/>
      <c r="E49" s="397"/>
      <c r="F49" s="397"/>
      <c r="G49" s="397"/>
      <c r="H49" s="397"/>
      <c r="I49" s="397"/>
      <c r="J49" s="397"/>
    </row>
    <row r="50" spans="1:10" ht="16.5">
      <c r="A50" s="382"/>
      <c r="B50" s="395"/>
      <c r="C50" s="396"/>
      <c r="D50" s="396"/>
      <c r="E50" s="397"/>
      <c r="F50" s="397"/>
      <c r="G50" s="397"/>
      <c r="H50" s="397"/>
      <c r="I50" s="397"/>
      <c r="J50" s="397"/>
    </row>
    <row r="51" spans="1:10" ht="16.5">
      <c r="A51" s="382"/>
      <c r="B51" s="395"/>
      <c r="C51" s="396"/>
      <c r="D51" s="396"/>
      <c r="E51" s="397"/>
      <c r="F51" s="397"/>
      <c r="G51" s="397"/>
      <c r="H51" s="397"/>
      <c r="I51" s="397"/>
      <c r="J51" s="397"/>
    </row>
    <row r="52" spans="1:10" ht="16.5">
      <c r="A52" s="382"/>
      <c r="B52" s="395"/>
      <c r="C52" s="396"/>
      <c r="D52" s="396"/>
      <c r="E52" s="397"/>
      <c r="F52" s="397"/>
      <c r="G52" s="397"/>
      <c r="H52" s="397"/>
      <c r="I52" s="397"/>
      <c r="J52" s="397"/>
    </row>
    <row r="53" spans="1:10" ht="16.5">
      <c r="A53" s="382"/>
      <c r="B53" s="395"/>
      <c r="C53" s="396"/>
      <c r="D53" s="396"/>
      <c r="E53" s="397"/>
      <c r="F53" s="397"/>
      <c r="G53" s="397"/>
      <c r="H53" s="397"/>
      <c r="I53" s="397"/>
      <c r="J53" s="397"/>
    </row>
    <row r="54" spans="1:10" ht="16.5">
      <c r="A54" s="382"/>
      <c r="B54" s="395"/>
      <c r="C54" s="396"/>
      <c r="D54" s="396"/>
      <c r="E54" s="397"/>
      <c r="F54" s="397"/>
      <c r="G54" s="397"/>
      <c r="H54" s="397"/>
      <c r="I54" s="397"/>
      <c r="J54" s="397"/>
    </row>
    <row r="55" spans="1:10" ht="16.5">
      <c r="A55" s="382"/>
      <c r="B55" s="395"/>
      <c r="C55" s="396"/>
      <c r="D55" s="396"/>
      <c r="E55" s="397"/>
      <c r="F55" s="397"/>
      <c r="G55" s="397"/>
      <c r="H55" s="397"/>
      <c r="I55" s="397"/>
      <c r="J55" s="397"/>
    </row>
    <row r="56" spans="1:10" ht="16.5">
      <c r="A56" s="382"/>
      <c r="B56" s="395"/>
      <c r="C56" s="396"/>
      <c r="D56" s="396"/>
      <c r="E56" s="397"/>
      <c r="F56" s="397"/>
      <c r="G56" s="397"/>
      <c r="H56" s="397"/>
      <c r="I56" s="397"/>
      <c r="J56" s="397"/>
    </row>
    <row r="57" spans="1:10" ht="16.5">
      <c r="A57" s="382"/>
      <c r="B57" s="395"/>
      <c r="C57" s="396"/>
      <c r="D57" s="396"/>
      <c r="E57" s="397"/>
      <c r="F57" s="397"/>
      <c r="G57" s="397"/>
      <c r="H57" s="397"/>
      <c r="I57" s="397"/>
      <c r="J57" s="397"/>
    </row>
    <row r="58" spans="1:10" ht="16.5">
      <c r="A58" s="382"/>
      <c r="B58" s="395"/>
      <c r="C58" s="396"/>
      <c r="D58" s="396"/>
      <c r="E58" s="397"/>
      <c r="F58" s="397"/>
      <c r="G58" s="397"/>
      <c r="H58" s="397"/>
      <c r="I58" s="397"/>
      <c r="J58" s="397"/>
    </row>
    <row r="59" spans="1:10" ht="16.5">
      <c r="A59" s="382"/>
      <c r="B59" s="395"/>
      <c r="C59" s="396"/>
      <c r="D59" s="396"/>
      <c r="E59" s="397"/>
      <c r="F59" s="397"/>
      <c r="G59" s="397"/>
      <c r="H59" s="397"/>
      <c r="I59" s="397"/>
      <c r="J59" s="397"/>
    </row>
    <row r="60" spans="1:10" ht="16.5">
      <c r="A60" s="382"/>
      <c r="B60" s="395"/>
      <c r="C60" s="396"/>
      <c r="D60" s="396"/>
      <c r="E60" s="397"/>
      <c r="F60" s="397"/>
      <c r="G60" s="397"/>
      <c r="H60" s="397"/>
      <c r="I60" s="397"/>
      <c r="J60" s="397"/>
    </row>
    <row r="61" spans="1:10" ht="16.5">
      <c r="A61" s="382"/>
      <c r="B61" s="395"/>
      <c r="C61" s="396"/>
      <c r="D61" s="396"/>
      <c r="E61" s="397"/>
      <c r="F61" s="397"/>
      <c r="G61" s="397"/>
      <c r="H61" s="397"/>
      <c r="I61" s="397"/>
      <c r="J61" s="397"/>
    </row>
    <row r="62" spans="1:10" ht="16.5">
      <c r="A62" s="382"/>
      <c r="B62" s="395"/>
      <c r="C62" s="396"/>
      <c r="D62" s="396"/>
      <c r="E62" s="397"/>
      <c r="F62" s="397"/>
      <c r="G62" s="397"/>
      <c r="H62" s="397"/>
      <c r="I62" s="397"/>
      <c r="J62" s="397"/>
    </row>
    <row r="63" spans="1:10" ht="16.5">
      <c r="A63" s="382"/>
      <c r="B63" s="395"/>
      <c r="C63" s="396"/>
      <c r="D63" s="396"/>
      <c r="E63" s="397"/>
      <c r="F63" s="397"/>
      <c r="G63" s="397"/>
      <c r="H63" s="397"/>
      <c r="I63" s="397"/>
      <c r="J63" s="397"/>
    </row>
    <row r="64" spans="1:10" ht="16.5">
      <c r="A64" s="382"/>
      <c r="B64" s="395"/>
      <c r="C64" s="396"/>
      <c r="D64" s="396"/>
      <c r="E64" s="397"/>
      <c r="F64" s="397"/>
      <c r="G64" s="397"/>
      <c r="H64" s="397"/>
      <c r="I64" s="397"/>
      <c r="J64" s="397"/>
    </row>
    <row r="65" spans="1:10" ht="16.5">
      <c r="A65" s="382"/>
      <c r="B65" s="395"/>
      <c r="C65" s="396"/>
      <c r="D65" s="396"/>
      <c r="E65" s="397"/>
      <c r="F65" s="397"/>
      <c r="G65" s="397"/>
      <c r="H65" s="397"/>
      <c r="I65" s="397"/>
      <c r="J65" s="397"/>
    </row>
    <row r="66" spans="1:10" ht="16.5">
      <c r="A66" s="382"/>
      <c r="B66" s="395"/>
      <c r="C66" s="396"/>
      <c r="D66" s="396"/>
      <c r="E66" s="397"/>
      <c r="F66" s="397"/>
      <c r="G66" s="397"/>
      <c r="H66" s="397"/>
      <c r="I66" s="397"/>
      <c r="J66" s="397"/>
    </row>
    <row r="67" spans="1:10" ht="16.5">
      <c r="A67" s="382"/>
      <c r="B67" s="395"/>
      <c r="C67" s="396"/>
      <c r="D67" s="396"/>
      <c r="E67" s="397"/>
      <c r="F67" s="397"/>
      <c r="G67" s="397"/>
      <c r="H67" s="397"/>
      <c r="I67" s="397"/>
      <c r="J67" s="397"/>
    </row>
    <row r="68" spans="1:10" ht="16.5">
      <c r="A68" s="382"/>
      <c r="B68" s="395"/>
      <c r="C68" s="396"/>
      <c r="D68" s="396"/>
      <c r="E68" s="397"/>
      <c r="F68" s="397"/>
      <c r="G68" s="397"/>
      <c r="H68" s="397"/>
      <c r="I68" s="397"/>
      <c r="J68" s="397"/>
    </row>
    <row r="69" spans="1:10" ht="16.5">
      <c r="A69" s="382"/>
      <c r="B69" s="395"/>
      <c r="C69" s="396"/>
      <c r="D69" s="396"/>
      <c r="E69" s="397"/>
      <c r="F69" s="397"/>
      <c r="G69" s="397"/>
      <c r="H69" s="397"/>
      <c r="I69" s="397"/>
      <c r="J69" s="397"/>
    </row>
    <row r="70" spans="1:10" ht="16.5">
      <c r="A70" s="382"/>
      <c r="B70" s="395"/>
      <c r="C70" s="396"/>
      <c r="D70" s="396"/>
      <c r="E70" s="397"/>
      <c r="F70" s="397"/>
      <c r="G70" s="397"/>
      <c r="H70" s="397"/>
      <c r="I70" s="397"/>
      <c r="J70" s="397"/>
    </row>
    <row r="71" spans="1:10" ht="16.5">
      <c r="A71" s="382"/>
      <c r="B71" s="395"/>
      <c r="C71" s="396"/>
      <c r="D71" s="396"/>
      <c r="E71" s="397"/>
      <c r="F71" s="397"/>
      <c r="G71" s="397"/>
      <c r="H71" s="397"/>
      <c r="I71" s="397"/>
      <c r="J71" s="397"/>
    </row>
    <row r="72" spans="1:10" ht="16.5">
      <c r="A72" s="382"/>
      <c r="B72" s="395"/>
      <c r="C72" s="396"/>
      <c r="D72" s="396"/>
      <c r="E72" s="397"/>
      <c r="F72" s="397"/>
      <c r="G72" s="397"/>
      <c r="H72" s="397"/>
      <c r="I72" s="397"/>
      <c r="J72" s="397"/>
    </row>
    <row r="73" spans="1:10" ht="16.5">
      <c r="A73" s="382"/>
      <c r="B73" s="395"/>
      <c r="C73" s="396"/>
      <c r="D73" s="396"/>
      <c r="E73" s="397"/>
      <c r="F73" s="397"/>
      <c r="G73" s="397"/>
      <c r="H73" s="397"/>
      <c r="I73" s="397"/>
      <c r="J73" s="397"/>
    </row>
    <row r="74" spans="1:10" ht="16.5">
      <c r="A74" s="382"/>
      <c r="B74" s="395"/>
      <c r="C74" s="396"/>
      <c r="D74" s="396"/>
      <c r="E74" s="397"/>
      <c r="F74" s="397"/>
      <c r="G74" s="397"/>
      <c r="H74" s="397"/>
      <c r="I74" s="397"/>
      <c r="J74" s="397"/>
    </row>
    <row r="75" spans="1:10" ht="16.5">
      <c r="A75" s="382"/>
      <c r="B75" s="395"/>
      <c r="C75" s="396"/>
      <c r="D75" s="396"/>
      <c r="E75" s="397"/>
      <c r="F75" s="397"/>
      <c r="G75" s="397"/>
      <c r="H75" s="397"/>
      <c r="I75" s="397"/>
      <c r="J75" s="397"/>
    </row>
    <row r="76" spans="1:10" ht="16.5">
      <c r="A76" s="382"/>
      <c r="B76" s="395"/>
      <c r="C76" s="396"/>
      <c r="D76" s="396"/>
      <c r="E76" s="397"/>
      <c r="F76" s="397"/>
      <c r="G76" s="397"/>
      <c r="H76" s="397"/>
      <c r="I76" s="397"/>
      <c r="J76" s="397"/>
    </row>
    <row r="77" spans="1:10" ht="16.5">
      <c r="A77" s="382"/>
      <c r="B77" s="395"/>
      <c r="C77" s="396"/>
      <c r="D77" s="396"/>
      <c r="E77" s="397"/>
      <c r="F77" s="397"/>
      <c r="G77" s="397"/>
      <c r="H77" s="397"/>
      <c r="I77" s="397"/>
      <c r="J77" s="397"/>
    </row>
    <row r="78" spans="1:10" ht="16.5">
      <c r="A78" s="382"/>
      <c r="B78" s="395"/>
      <c r="C78" s="396"/>
      <c r="D78" s="396"/>
      <c r="E78" s="397"/>
      <c r="F78" s="397"/>
      <c r="G78" s="397"/>
      <c r="H78" s="397"/>
      <c r="I78" s="397"/>
      <c r="J78" s="397"/>
    </row>
    <row r="79" spans="1:10" ht="16.5">
      <c r="A79" s="382"/>
      <c r="B79" s="395"/>
      <c r="C79" s="396"/>
      <c r="D79" s="396"/>
      <c r="E79" s="397"/>
      <c r="F79" s="397"/>
      <c r="G79" s="397"/>
      <c r="H79" s="397"/>
      <c r="I79" s="397"/>
      <c r="J79" s="397"/>
    </row>
    <row r="80" spans="1:10" ht="16.5">
      <c r="A80" s="382"/>
      <c r="B80" s="395"/>
      <c r="C80" s="396"/>
      <c r="D80" s="396"/>
      <c r="E80" s="397"/>
      <c r="F80" s="397"/>
      <c r="G80" s="397"/>
      <c r="H80" s="397"/>
      <c r="I80" s="397"/>
      <c r="J80" s="397"/>
    </row>
    <row r="81" spans="1:10" ht="16.5">
      <c r="A81" s="382"/>
      <c r="B81" s="395"/>
      <c r="C81" s="396"/>
      <c r="D81" s="396"/>
      <c r="E81" s="397"/>
      <c r="F81" s="397"/>
      <c r="G81" s="397"/>
      <c r="H81" s="397"/>
      <c r="I81" s="397"/>
      <c r="J81" s="397"/>
    </row>
    <row r="82" spans="1:10" ht="16.5">
      <c r="A82" s="382"/>
      <c r="B82" s="395"/>
      <c r="C82" s="396"/>
      <c r="D82" s="396"/>
      <c r="E82" s="397"/>
      <c r="F82" s="397"/>
      <c r="G82" s="397"/>
      <c r="H82" s="397"/>
      <c r="I82" s="397"/>
      <c r="J82" s="397"/>
    </row>
    <row r="83" spans="1:10" ht="16.5">
      <c r="A83" s="382"/>
      <c r="B83" s="395"/>
      <c r="C83" s="396"/>
      <c r="D83" s="396"/>
      <c r="E83" s="397"/>
      <c r="F83" s="397"/>
      <c r="G83" s="397"/>
      <c r="H83" s="397"/>
      <c r="I83" s="397"/>
      <c r="J83" s="397"/>
    </row>
    <row r="84" spans="1:10" ht="16.5">
      <c r="A84" s="382"/>
      <c r="B84" s="395"/>
      <c r="C84" s="396"/>
      <c r="D84" s="396"/>
      <c r="E84" s="397"/>
      <c r="F84" s="397"/>
      <c r="G84" s="397"/>
      <c r="H84" s="397"/>
      <c r="I84" s="397"/>
      <c r="J84" s="397"/>
    </row>
    <row r="85" spans="1:10" ht="16.5">
      <c r="A85" s="382"/>
      <c r="B85" s="395"/>
      <c r="C85" s="396"/>
      <c r="D85" s="396"/>
      <c r="E85" s="397"/>
      <c r="F85" s="397"/>
      <c r="G85" s="397"/>
      <c r="H85" s="397"/>
      <c r="I85" s="397"/>
      <c r="J85" s="397"/>
    </row>
    <row r="86" spans="1:10" ht="16.5">
      <c r="A86" s="382"/>
      <c r="B86" s="395"/>
      <c r="C86" s="396"/>
      <c r="D86" s="396"/>
      <c r="E86" s="397"/>
      <c r="F86" s="397"/>
      <c r="G86" s="397"/>
      <c r="H86" s="397"/>
      <c r="I86" s="397"/>
      <c r="J86" s="397"/>
    </row>
    <row r="87" spans="1:10" ht="16.5">
      <c r="A87" s="382"/>
      <c r="B87" s="395"/>
      <c r="C87" s="396"/>
      <c r="D87" s="396"/>
      <c r="E87" s="397"/>
      <c r="F87" s="397"/>
      <c r="G87" s="397"/>
      <c r="H87" s="397"/>
      <c r="I87" s="397"/>
      <c r="J87" s="397"/>
    </row>
    <row r="88" spans="1:10" ht="16.5">
      <c r="A88" s="382"/>
      <c r="B88" s="395"/>
      <c r="C88" s="396"/>
      <c r="D88" s="396"/>
      <c r="E88" s="397"/>
      <c r="F88" s="397"/>
      <c r="G88" s="397"/>
      <c r="H88" s="397"/>
      <c r="I88" s="397"/>
      <c r="J88" s="397"/>
    </row>
    <row r="89" spans="1:10" ht="16.5">
      <c r="A89" s="382"/>
      <c r="B89" s="395"/>
      <c r="C89" s="396"/>
      <c r="D89" s="396"/>
      <c r="E89" s="397"/>
      <c r="F89" s="397"/>
      <c r="G89" s="397"/>
      <c r="H89" s="397"/>
      <c r="I89" s="397"/>
      <c r="J89" s="397"/>
    </row>
    <row r="90" spans="1:10" ht="16.5">
      <c r="A90" s="382"/>
      <c r="B90" s="395"/>
      <c r="C90" s="396"/>
      <c r="D90" s="396"/>
      <c r="E90" s="397"/>
      <c r="F90" s="397"/>
      <c r="G90" s="397"/>
      <c r="H90" s="397"/>
      <c r="I90" s="397"/>
      <c r="J90" s="397"/>
    </row>
    <row r="91" spans="1:10" ht="16.5">
      <c r="A91" s="382"/>
      <c r="B91" s="395"/>
      <c r="C91" s="396"/>
      <c r="D91" s="396"/>
      <c r="E91" s="397"/>
      <c r="F91" s="397"/>
      <c r="G91" s="397"/>
      <c r="H91" s="397"/>
      <c r="I91" s="397"/>
      <c r="J91" s="397"/>
    </row>
    <row r="92" spans="1:10" ht="16.5">
      <c r="A92" s="382"/>
      <c r="B92" s="395"/>
      <c r="C92" s="396"/>
      <c r="D92" s="396"/>
      <c r="E92" s="397"/>
      <c r="F92" s="397"/>
      <c r="G92" s="397"/>
      <c r="H92" s="397"/>
      <c r="I92" s="397"/>
      <c r="J92" s="397"/>
    </row>
    <row r="93" spans="1:10" ht="16.5">
      <c r="A93" s="382"/>
      <c r="B93" s="395"/>
      <c r="C93" s="396"/>
      <c r="D93" s="396"/>
      <c r="E93" s="397"/>
      <c r="F93" s="397"/>
      <c r="G93" s="397"/>
      <c r="H93" s="397"/>
      <c r="I93" s="397"/>
      <c r="J93" s="397"/>
    </row>
    <row r="94" spans="1:10" ht="16.5">
      <c r="A94" s="382"/>
      <c r="B94" s="395"/>
      <c r="C94" s="396"/>
      <c r="D94" s="396"/>
      <c r="E94" s="397"/>
      <c r="F94" s="397"/>
      <c r="G94" s="397"/>
      <c r="H94" s="397"/>
      <c r="I94" s="397"/>
      <c r="J94" s="397"/>
    </row>
    <row r="95" spans="1:10" ht="16.5">
      <c r="A95" s="382"/>
      <c r="B95" s="395"/>
      <c r="C95" s="396"/>
      <c r="D95" s="396"/>
      <c r="E95" s="397"/>
      <c r="F95" s="397"/>
      <c r="G95" s="397"/>
      <c r="H95" s="397"/>
      <c r="I95" s="397"/>
      <c r="J95" s="397"/>
    </row>
    <row r="96" spans="1:10" ht="16.5">
      <c r="A96" s="382"/>
      <c r="B96" s="395"/>
      <c r="C96" s="396"/>
      <c r="D96" s="396"/>
      <c r="E96" s="397"/>
      <c r="F96" s="397"/>
      <c r="G96" s="397"/>
      <c r="H96" s="397"/>
      <c r="I96" s="397"/>
      <c r="J96" s="397"/>
    </row>
    <row r="97" spans="1:10" ht="16.5">
      <c r="A97" s="382"/>
      <c r="B97" s="395"/>
      <c r="C97" s="396"/>
      <c r="D97" s="396"/>
      <c r="E97" s="397"/>
      <c r="F97" s="397"/>
      <c r="G97" s="397"/>
      <c r="H97" s="397"/>
      <c r="I97" s="397"/>
      <c r="J97" s="397"/>
    </row>
    <row r="98" spans="1:10" ht="16.5">
      <c r="A98" s="382"/>
      <c r="B98" s="395"/>
      <c r="C98" s="396"/>
      <c r="D98" s="396"/>
      <c r="E98" s="397"/>
      <c r="F98" s="397"/>
      <c r="G98" s="397"/>
      <c r="H98" s="397"/>
      <c r="I98" s="397"/>
      <c r="J98" s="397"/>
    </row>
    <row r="99" spans="1:10" ht="16.5">
      <c r="A99" s="382"/>
      <c r="B99" s="395"/>
      <c r="C99" s="396"/>
      <c r="D99" s="396"/>
      <c r="E99" s="397"/>
      <c r="F99" s="397"/>
      <c r="G99" s="397"/>
      <c r="H99" s="397"/>
      <c r="I99" s="397"/>
      <c r="J99" s="397"/>
    </row>
    <row r="100" spans="1:10" ht="16.5">
      <c r="A100" s="382"/>
      <c r="B100" s="395"/>
      <c r="C100" s="396"/>
      <c r="D100" s="396"/>
      <c r="E100" s="397"/>
      <c r="F100" s="397"/>
      <c r="G100" s="397"/>
      <c r="H100" s="397"/>
      <c r="I100" s="397"/>
      <c r="J100" s="397"/>
    </row>
    <row r="101" spans="1:10" ht="16.5">
      <c r="A101" s="382"/>
      <c r="B101" s="395"/>
      <c r="C101" s="396"/>
      <c r="D101" s="396"/>
      <c r="E101" s="397"/>
      <c r="F101" s="397"/>
      <c r="G101" s="397"/>
      <c r="H101" s="397"/>
      <c r="I101" s="397"/>
      <c r="J101" s="397"/>
    </row>
    <row r="102" spans="1:10" ht="16.5">
      <c r="A102" s="382"/>
      <c r="B102" s="395"/>
      <c r="C102" s="396"/>
      <c r="D102" s="396"/>
      <c r="E102" s="397"/>
      <c r="F102" s="397"/>
      <c r="G102" s="397"/>
      <c r="H102" s="397"/>
      <c r="I102" s="397"/>
      <c r="J102" s="397"/>
    </row>
    <row r="103" spans="1:10" ht="16.5">
      <c r="A103" s="382"/>
      <c r="B103" s="395"/>
      <c r="C103" s="396"/>
      <c r="D103" s="396"/>
      <c r="E103" s="397"/>
      <c r="F103" s="397"/>
      <c r="G103" s="397"/>
      <c r="H103" s="397"/>
      <c r="I103" s="397"/>
      <c r="J103" s="397"/>
    </row>
    <row r="104" spans="1:10" ht="16.5">
      <c r="A104" s="382"/>
      <c r="B104" s="395"/>
      <c r="C104" s="396"/>
      <c r="D104" s="396"/>
      <c r="E104" s="397"/>
      <c r="F104" s="397"/>
      <c r="G104" s="397"/>
      <c r="H104" s="397"/>
      <c r="I104" s="397"/>
      <c r="J104" s="397"/>
    </row>
    <row r="105" spans="1:10" ht="16.5">
      <c r="A105" s="382"/>
      <c r="B105" s="395"/>
      <c r="C105" s="396"/>
      <c r="D105" s="396"/>
      <c r="E105" s="397"/>
      <c r="F105" s="397"/>
      <c r="G105" s="397"/>
      <c r="H105" s="397"/>
      <c r="I105" s="397"/>
      <c r="J105" s="397"/>
    </row>
    <row r="106" spans="1:10" ht="16.5">
      <c r="A106" s="382"/>
      <c r="B106" s="395"/>
      <c r="C106" s="396"/>
      <c r="D106" s="396"/>
      <c r="E106" s="397"/>
      <c r="F106" s="397"/>
      <c r="G106" s="397"/>
      <c r="H106" s="397"/>
      <c r="I106" s="397"/>
      <c r="J106" s="397"/>
    </row>
    <row r="107" spans="1:10" ht="16.5">
      <c r="A107" s="382"/>
      <c r="B107" s="395"/>
      <c r="C107" s="396"/>
      <c r="D107" s="396"/>
      <c r="E107" s="397"/>
      <c r="F107" s="397"/>
      <c r="G107" s="397"/>
      <c r="H107" s="397"/>
      <c r="I107" s="397"/>
      <c r="J107" s="397"/>
    </row>
    <row r="108" spans="1:10" ht="16.5">
      <c r="A108" s="382"/>
      <c r="B108" s="395"/>
      <c r="C108" s="396"/>
      <c r="D108" s="396"/>
      <c r="E108" s="397"/>
      <c r="F108" s="397"/>
      <c r="G108" s="397"/>
      <c r="H108" s="397"/>
      <c r="I108" s="397"/>
      <c r="J108" s="397"/>
    </row>
    <row r="109" spans="1:10" ht="16.5">
      <c r="A109" s="382"/>
      <c r="B109" s="395"/>
      <c r="C109" s="396"/>
      <c r="D109" s="396"/>
      <c r="E109" s="397"/>
      <c r="F109" s="397"/>
      <c r="G109" s="397"/>
      <c r="H109" s="397"/>
      <c r="I109" s="397"/>
      <c r="J109" s="397"/>
    </row>
    <row r="110" spans="1:10" ht="16.5">
      <c r="A110" s="382"/>
      <c r="B110" s="395"/>
      <c r="C110" s="396"/>
      <c r="D110" s="396"/>
      <c r="E110" s="397"/>
      <c r="F110" s="397"/>
      <c r="G110" s="397"/>
      <c r="H110" s="397"/>
      <c r="I110" s="397"/>
      <c r="J110" s="397"/>
    </row>
    <row r="111" spans="1:10" ht="16.5">
      <c r="A111" s="382"/>
      <c r="B111" s="395"/>
      <c r="C111" s="396"/>
      <c r="D111" s="396"/>
      <c r="E111" s="397"/>
      <c r="F111" s="397"/>
      <c r="G111" s="397"/>
      <c r="H111" s="397"/>
      <c r="I111" s="397"/>
      <c r="J111" s="397"/>
    </row>
    <row r="112" spans="1:10" ht="16.5">
      <c r="A112" s="382"/>
      <c r="B112" s="395"/>
      <c r="C112" s="396"/>
      <c r="D112" s="396"/>
      <c r="E112" s="397"/>
      <c r="F112" s="397"/>
      <c r="G112" s="397"/>
      <c r="H112" s="397"/>
      <c r="I112" s="397"/>
      <c r="J112" s="397"/>
    </row>
    <row r="113" spans="1:10" ht="16.5">
      <c r="A113" s="382"/>
      <c r="B113" s="395"/>
      <c r="C113" s="396"/>
      <c r="D113" s="396"/>
      <c r="E113" s="397"/>
      <c r="F113" s="397"/>
      <c r="G113" s="397"/>
      <c r="H113" s="397"/>
      <c r="I113" s="397"/>
      <c r="J113" s="397"/>
    </row>
    <row r="114" spans="1:10" ht="16.5">
      <c r="A114" s="382"/>
      <c r="B114" s="395"/>
      <c r="C114" s="396"/>
      <c r="D114" s="396"/>
      <c r="E114" s="397"/>
      <c r="F114" s="397"/>
      <c r="G114" s="397"/>
      <c r="H114" s="397"/>
      <c r="I114" s="397"/>
      <c r="J114" s="397"/>
    </row>
    <row r="115" spans="1:10" ht="16.5">
      <c r="A115" s="382"/>
      <c r="B115" s="395"/>
      <c r="C115" s="396"/>
      <c r="D115" s="396"/>
      <c r="E115" s="397"/>
      <c r="F115" s="397"/>
      <c r="G115" s="397"/>
      <c r="H115" s="397"/>
      <c r="I115" s="397"/>
      <c r="J115" s="397"/>
    </row>
    <row r="116" spans="1:10" ht="16.5">
      <c r="A116" s="382"/>
      <c r="B116" s="395"/>
      <c r="C116" s="396"/>
      <c r="D116" s="396"/>
      <c r="E116" s="397"/>
      <c r="F116" s="397"/>
      <c r="G116" s="397"/>
      <c r="H116" s="397"/>
      <c r="I116" s="397"/>
      <c r="J116" s="397"/>
    </row>
    <row r="117" spans="1:10" ht="16.5">
      <c r="A117" s="382"/>
      <c r="B117" s="395"/>
      <c r="C117" s="396"/>
      <c r="D117" s="396"/>
      <c r="E117" s="397"/>
      <c r="F117" s="397"/>
      <c r="G117" s="397"/>
      <c r="H117" s="397"/>
      <c r="I117" s="397"/>
      <c r="J117" s="397"/>
    </row>
    <row r="118" spans="1:10" ht="16.5">
      <c r="A118" s="382"/>
      <c r="B118" s="395"/>
      <c r="C118" s="396"/>
      <c r="D118" s="396"/>
      <c r="E118" s="397"/>
      <c r="F118" s="397"/>
      <c r="G118" s="397"/>
      <c r="H118" s="397"/>
      <c r="I118" s="397"/>
      <c r="J118" s="397"/>
    </row>
    <row r="119" spans="1:10" ht="16.5">
      <c r="A119" s="382"/>
      <c r="B119" s="395"/>
      <c r="C119" s="396"/>
      <c r="D119" s="396"/>
      <c r="E119" s="397"/>
      <c r="F119" s="397"/>
      <c r="G119" s="397"/>
      <c r="H119" s="397"/>
      <c r="I119" s="397"/>
      <c r="J119" s="397"/>
    </row>
    <row r="120" spans="1:10" ht="16.5">
      <c r="A120" s="382"/>
      <c r="B120" s="395"/>
      <c r="C120" s="396"/>
      <c r="D120" s="396"/>
      <c r="E120" s="397"/>
      <c r="F120" s="397"/>
      <c r="G120" s="397"/>
      <c r="H120" s="397"/>
      <c r="I120" s="397"/>
      <c r="J120" s="397"/>
    </row>
    <row r="121" spans="1:10" ht="16.5">
      <c r="A121" s="382"/>
      <c r="B121" s="395"/>
      <c r="C121" s="396"/>
      <c r="D121" s="396"/>
      <c r="E121" s="397"/>
      <c r="F121" s="397"/>
      <c r="G121" s="397"/>
      <c r="H121" s="397"/>
      <c r="I121" s="397"/>
      <c r="J121" s="397"/>
    </row>
    <row r="122" spans="1:10" ht="16.5">
      <c r="A122" s="382"/>
      <c r="B122" s="395"/>
      <c r="C122" s="396"/>
      <c r="D122" s="396"/>
      <c r="E122" s="397"/>
      <c r="F122" s="397"/>
      <c r="G122" s="397"/>
      <c r="H122" s="397"/>
      <c r="I122" s="397"/>
      <c r="J122" s="397"/>
    </row>
    <row r="123" spans="1:10" ht="16.5">
      <c r="A123" s="382"/>
      <c r="B123" s="395"/>
      <c r="C123" s="396"/>
      <c r="D123" s="396"/>
      <c r="E123" s="397"/>
      <c r="F123" s="397"/>
      <c r="G123" s="397"/>
      <c r="H123" s="397"/>
      <c r="I123" s="397"/>
      <c r="J123" s="397"/>
    </row>
    <row r="124" spans="1:10" ht="16.5">
      <c r="A124" s="382"/>
      <c r="B124" s="395"/>
      <c r="C124" s="396"/>
      <c r="D124" s="396"/>
      <c r="E124" s="397"/>
      <c r="F124" s="397"/>
      <c r="G124" s="397"/>
      <c r="H124" s="397"/>
      <c r="I124" s="397"/>
      <c r="J124" s="397"/>
    </row>
    <row r="125" spans="1:10" ht="16.5">
      <c r="A125" s="382"/>
      <c r="B125" s="395"/>
      <c r="C125" s="396"/>
      <c r="D125" s="396"/>
      <c r="E125" s="397"/>
      <c r="F125" s="397"/>
      <c r="G125" s="397"/>
      <c r="H125" s="397"/>
      <c r="I125" s="397"/>
      <c r="J125" s="397"/>
    </row>
    <row r="126" spans="1:10" ht="16.5">
      <c r="A126" s="382"/>
      <c r="B126" s="395"/>
      <c r="C126" s="396"/>
      <c r="D126" s="396"/>
      <c r="E126" s="397"/>
      <c r="F126" s="397"/>
      <c r="G126" s="397"/>
      <c r="H126" s="397"/>
      <c r="I126" s="397"/>
      <c r="J126" s="397"/>
    </row>
    <row r="127" spans="1:10" ht="16.5">
      <c r="A127" s="382"/>
      <c r="B127" s="395"/>
      <c r="C127" s="396"/>
      <c r="D127" s="396"/>
      <c r="E127" s="397"/>
      <c r="F127" s="397"/>
      <c r="G127" s="397"/>
      <c r="H127" s="397"/>
      <c r="I127" s="397"/>
      <c r="J127" s="397"/>
    </row>
    <row r="128" spans="1:10" ht="16.5">
      <c r="A128" s="382"/>
      <c r="B128" s="395"/>
      <c r="C128" s="396"/>
      <c r="D128" s="396"/>
      <c r="E128" s="397"/>
      <c r="F128" s="397"/>
      <c r="G128" s="397"/>
      <c r="H128" s="397"/>
      <c r="I128" s="397"/>
      <c r="J128" s="397"/>
    </row>
    <row r="129" spans="1:10" ht="16.5">
      <c r="A129" s="382"/>
      <c r="B129" s="395"/>
      <c r="C129" s="396"/>
      <c r="D129" s="396"/>
      <c r="E129" s="397"/>
      <c r="F129" s="397"/>
      <c r="G129" s="397"/>
      <c r="H129" s="397"/>
      <c r="I129" s="397"/>
      <c r="J129" s="397"/>
    </row>
    <row r="130" spans="1:10" ht="16.5">
      <c r="A130" s="382"/>
      <c r="B130" s="395"/>
      <c r="C130" s="396"/>
      <c r="D130" s="396"/>
      <c r="E130" s="397"/>
      <c r="F130" s="397"/>
      <c r="G130" s="397"/>
      <c r="H130" s="397"/>
      <c r="I130" s="397"/>
      <c r="J130" s="397"/>
    </row>
    <row r="131" spans="1:10" ht="16.5">
      <c r="A131" s="382"/>
      <c r="B131" s="395"/>
      <c r="C131" s="396"/>
      <c r="D131" s="396"/>
      <c r="E131" s="397"/>
      <c r="F131" s="397"/>
      <c r="G131" s="397"/>
      <c r="H131" s="397"/>
      <c r="I131" s="397"/>
      <c r="J131" s="397"/>
    </row>
    <row r="132" spans="1:10" ht="16.5">
      <c r="A132" s="382"/>
      <c r="B132" s="395"/>
      <c r="C132" s="396"/>
      <c r="D132" s="396"/>
      <c r="E132" s="397"/>
      <c r="F132" s="397"/>
      <c r="G132" s="397"/>
      <c r="H132" s="397"/>
      <c r="I132" s="397"/>
      <c r="J132" s="397"/>
    </row>
    <row r="133" spans="1:10" ht="16.5">
      <c r="A133" s="382"/>
      <c r="B133" s="395"/>
      <c r="C133" s="396"/>
      <c r="D133" s="396"/>
      <c r="E133" s="397"/>
      <c r="F133" s="397"/>
      <c r="G133" s="397"/>
      <c r="H133" s="397"/>
      <c r="I133" s="397"/>
      <c r="J133" s="397"/>
    </row>
    <row r="134" spans="1:10" ht="16.5">
      <c r="A134" s="382"/>
      <c r="B134" s="395"/>
      <c r="C134" s="396"/>
      <c r="D134" s="396"/>
      <c r="E134" s="397"/>
      <c r="F134" s="397"/>
      <c r="G134" s="397"/>
      <c r="H134" s="397"/>
      <c r="I134" s="397"/>
      <c r="J134" s="397"/>
    </row>
    <row r="135" spans="1:10" ht="16.5">
      <c r="A135" s="382"/>
      <c r="B135" s="395"/>
      <c r="C135" s="396"/>
      <c r="D135" s="396"/>
      <c r="E135" s="397"/>
      <c r="F135" s="397"/>
      <c r="G135" s="397"/>
      <c r="H135" s="397"/>
      <c r="I135" s="397"/>
      <c r="J135" s="397"/>
    </row>
    <row r="136" spans="1:10" ht="16.5">
      <c r="A136" s="382"/>
      <c r="B136" s="395"/>
      <c r="C136" s="396"/>
      <c r="D136" s="396"/>
      <c r="E136" s="397"/>
      <c r="F136" s="397"/>
      <c r="G136" s="397"/>
      <c r="H136" s="397"/>
      <c r="I136" s="397"/>
      <c r="J136" s="397"/>
    </row>
    <row r="137" spans="1:10" ht="16.5">
      <c r="A137" s="382"/>
      <c r="B137" s="395"/>
      <c r="C137" s="396"/>
      <c r="D137" s="396"/>
      <c r="E137" s="397"/>
      <c r="F137" s="397"/>
      <c r="G137" s="397"/>
      <c r="H137" s="397"/>
      <c r="I137" s="397"/>
      <c r="J137" s="397"/>
    </row>
    <row r="138" spans="1:10" ht="16.5">
      <c r="A138" s="382"/>
      <c r="B138" s="395"/>
      <c r="C138" s="396"/>
      <c r="D138" s="396"/>
      <c r="E138" s="397"/>
      <c r="F138" s="397"/>
      <c r="G138" s="397"/>
      <c r="H138" s="397"/>
      <c r="I138" s="397"/>
      <c r="J138" s="397"/>
    </row>
    <row r="139" spans="1:10" ht="16.5">
      <c r="A139" s="382"/>
      <c r="B139" s="395"/>
      <c r="C139" s="396"/>
      <c r="D139" s="396"/>
      <c r="E139" s="397"/>
      <c r="F139" s="397"/>
      <c r="G139" s="397"/>
      <c r="H139" s="397"/>
      <c r="I139" s="397"/>
      <c r="J139" s="397"/>
    </row>
    <row r="140" spans="1:10" ht="16.5">
      <c r="A140" s="382"/>
      <c r="B140" s="395"/>
      <c r="C140" s="396"/>
      <c r="D140" s="396"/>
      <c r="E140" s="397"/>
      <c r="F140" s="397"/>
      <c r="G140" s="397"/>
      <c r="H140" s="397"/>
      <c r="I140" s="397"/>
      <c r="J140" s="397"/>
    </row>
    <row r="141" spans="1:10" ht="16.5">
      <c r="A141" s="382"/>
      <c r="B141" s="395"/>
      <c r="C141" s="396"/>
      <c r="D141" s="396"/>
      <c r="E141" s="397"/>
      <c r="F141" s="397"/>
      <c r="G141" s="397"/>
      <c r="H141" s="397"/>
      <c r="I141" s="397"/>
      <c r="J141" s="397"/>
    </row>
    <row r="142" spans="1:10" ht="16.5">
      <c r="A142" s="382"/>
      <c r="B142" s="395"/>
      <c r="C142" s="396"/>
      <c r="D142" s="396"/>
      <c r="E142" s="397"/>
      <c r="F142" s="397"/>
      <c r="G142" s="397"/>
      <c r="H142" s="397"/>
      <c r="I142" s="397"/>
      <c r="J142" s="397"/>
    </row>
    <row r="143" spans="1:10" ht="16.5">
      <c r="A143" s="382"/>
      <c r="B143" s="395"/>
      <c r="C143" s="396"/>
      <c r="D143" s="396"/>
      <c r="E143" s="397"/>
      <c r="F143" s="397"/>
      <c r="G143" s="397"/>
      <c r="H143" s="397"/>
      <c r="I143" s="397"/>
      <c r="J143" s="397"/>
    </row>
    <row r="144" spans="1:10" ht="16.5">
      <c r="A144" s="382"/>
      <c r="B144" s="395"/>
      <c r="C144" s="396"/>
      <c r="D144" s="396"/>
      <c r="E144" s="397"/>
      <c r="F144" s="397"/>
      <c r="G144" s="397"/>
      <c r="H144" s="397"/>
      <c r="I144" s="397"/>
      <c r="J144" s="397"/>
    </row>
    <row r="145" spans="1:10" ht="16.5">
      <c r="A145" s="382"/>
      <c r="B145" s="395"/>
      <c r="C145" s="396"/>
      <c r="D145" s="396"/>
      <c r="E145" s="397"/>
      <c r="F145" s="397"/>
      <c r="G145" s="397"/>
      <c r="H145" s="397"/>
      <c r="I145" s="397"/>
      <c r="J145" s="397"/>
    </row>
    <row r="146" spans="1:10" ht="16.5">
      <c r="A146" s="382"/>
      <c r="B146" s="395"/>
      <c r="C146" s="396"/>
      <c r="D146" s="396"/>
      <c r="E146" s="397"/>
      <c r="F146" s="397"/>
      <c r="G146" s="397"/>
      <c r="H146" s="397"/>
      <c r="I146" s="397"/>
      <c r="J146" s="397"/>
    </row>
    <row r="147" spans="1:10" ht="16.5">
      <c r="A147" s="382"/>
      <c r="B147" s="395"/>
      <c r="C147" s="396"/>
      <c r="D147" s="396"/>
      <c r="E147" s="397"/>
      <c r="F147" s="397"/>
      <c r="G147" s="397"/>
      <c r="H147" s="397"/>
      <c r="I147" s="397"/>
      <c r="J147" s="397"/>
    </row>
    <row r="148" spans="1:10" ht="16.5">
      <c r="A148" s="382"/>
      <c r="B148" s="395"/>
      <c r="C148" s="396"/>
      <c r="D148" s="396"/>
      <c r="E148" s="397"/>
      <c r="F148" s="397"/>
      <c r="G148" s="397"/>
      <c r="H148" s="397"/>
      <c r="I148" s="397"/>
      <c r="J148" s="397"/>
    </row>
    <row r="149" spans="1:10" ht="16.5">
      <c r="A149" s="382"/>
      <c r="B149" s="395"/>
      <c r="C149" s="396"/>
      <c r="D149" s="396"/>
      <c r="E149" s="397"/>
      <c r="F149" s="397"/>
      <c r="G149" s="397"/>
      <c r="H149" s="397"/>
      <c r="I149" s="397"/>
      <c r="J149" s="397"/>
    </row>
    <row r="150" spans="1:10" ht="16.5">
      <c r="A150" s="382"/>
      <c r="B150" s="395"/>
      <c r="C150" s="396"/>
      <c r="D150" s="396"/>
      <c r="E150" s="397"/>
      <c r="F150" s="397"/>
      <c r="G150" s="397"/>
      <c r="H150" s="397"/>
      <c r="I150" s="397"/>
      <c r="J150" s="397"/>
    </row>
    <row r="151" spans="1:10" ht="16.5">
      <c r="A151" s="382"/>
      <c r="B151" s="395"/>
      <c r="C151" s="396"/>
      <c r="D151" s="396"/>
      <c r="E151" s="397"/>
      <c r="F151" s="397"/>
      <c r="G151" s="397"/>
      <c r="H151" s="397"/>
      <c r="I151" s="397"/>
      <c r="J151" s="397"/>
    </row>
    <row r="152" spans="1:10" ht="16.5">
      <c r="A152" s="382"/>
      <c r="B152" s="395"/>
      <c r="C152" s="396"/>
      <c r="D152" s="396"/>
      <c r="E152" s="397"/>
      <c r="F152" s="397"/>
      <c r="G152" s="397"/>
      <c r="H152" s="397"/>
      <c r="I152" s="397"/>
      <c r="J152" s="397"/>
    </row>
    <row r="153" spans="1:10" ht="16.5">
      <c r="A153" s="382"/>
      <c r="B153" s="395"/>
      <c r="C153" s="396"/>
      <c r="D153" s="396"/>
      <c r="E153" s="397"/>
      <c r="F153" s="397"/>
      <c r="G153" s="397"/>
      <c r="H153" s="397"/>
      <c r="I153" s="397"/>
      <c r="J153" s="397"/>
    </row>
    <row r="154" spans="1:10" ht="16.5">
      <c r="A154" s="382"/>
      <c r="B154" s="395"/>
      <c r="C154" s="396"/>
      <c r="D154" s="396"/>
      <c r="E154" s="397"/>
      <c r="F154" s="397"/>
      <c r="G154" s="397"/>
      <c r="H154" s="397"/>
      <c r="I154" s="397"/>
      <c r="J154" s="397"/>
    </row>
    <row r="155" spans="1:10" ht="16.5">
      <c r="A155" s="382"/>
      <c r="B155" s="395"/>
      <c r="C155" s="396"/>
      <c r="D155" s="396"/>
      <c r="E155" s="397"/>
      <c r="F155" s="397"/>
      <c r="G155" s="397"/>
      <c r="H155" s="397"/>
      <c r="I155" s="397"/>
      <c r="J155" s="397"/>
    </row>
    <row r="156" spans="1:10" ht="16.5">
      <c r="A156" s="382"/>
      <c r="B156" s="395"/>
      <c r="C156" s="396"/>
      <c r="D156" s="396"/>
      <c r="E156" s="397"/>
      <c r="F156" s="397"/>
      <c r="G156" s="397"/>
      <c r="H156" s="397"/>
      <c r="I156" s="397"/>
      <c r="J156" s="397"/>
    </row>
    <row r="157" spans="1:10" ht="16.5">
      <c r="A157" s="382"/>
      <c r="B157" s="395"/>
      <c r="C157" s="396"/>
      <c r="D157" s="396"/>
      <c r="E157" s="397"/>
      <c r="F157" s="397"/>
      <c r="G157" s="397"/>
      <c r="H157" s="397"/>
      <c r="I157" s="397"/>
      <c r="J157" s="397"/>
    </row>
    <row r="158" spans="1:10" ht="16.5">
      <c r="A158" s="382"/>
      <c r="B158" s="395"/>
      <c r="C158" s="396"/>
      <c r="D158" s="396"/>
      <c r="E158" s="397"/>
      <c r="F158" s="397"/>
      <c r="G158" s="397"/>
      <c r="H158" s="397"/>
      <c r="I158" s="397"/>
      <c r="J158" s="397"/>
    </row>
    <row r="159" spans="1:10" ht="16.5">
      <c r="A159" s="382"/>
      <c r="B159" s="395"/>
      <c r="C159" s="396"/>
      <c r="D159" s="396"/>
      <c r="E159" s="397"/>
      <c r="F159" s="397"/>
      <c r="G159" s="397"/>
      <c r="H159" s="397"/>
      <c r="I159" s="397"/>
      <c r="J159" s="397"/>
    </row>
    <row r="160" spans="1:10" ht="16.5">
      <c r="A160" s="382"/>
      <c r="B160" s="395"/>
      <c r="C160" s="396"/>
      <c r="D160" s="396"/>
      <c r="E160" s="397"/>
      <c r="F160" s="397"/>
      <c r="G160" s="397"/>
      <c r="H160" s="397"/>
      <c r="I160" s="397"/>
      <c r="J160" s="397"/>
    </row>
    <row r="161" spans="1:10" ht="16.5">
      <c r="A161" s="382"/>
      <c r="B161" s="395"/>
      <c r="C161" s="396"/>
      <c r="D161" s="396"/>
      <c r="E161" s="397"/>
      <c r="F161" s="397"/>
      <c r="G161" s="397"/>
      <c r="H161" s="397"/>
      <c r="I161" s="397"/>
      <c r="J161" s="397"/>
    </row>
    <row r="162" spans="1:10" ht="16.5">
      <c r="A162" s="382"/>
      <c r="B162" s="395"/>
      <c r="C162" s="396"/>
      <c r="D162" s="396"/>
      <c r="E162" s="397"/>
      <c r="F162" s="397"/>
      <c r="G162" s="397"/>
      <c r="H162" s="397"/>
      <c r="I162" s="397"/>
      <c r="J162" s="397"/>
    </row>
    <row r="163" spans="1:10" ht="16.5">
      <c r="A163" s="382"/>
      <c r="B163" s="395"/>
      <c r="C163" s="396"/>
      <c r="D163" s="396"/>
      <c r="E163" s="397"/>
      <c r="F163" s="397"/>
      <c r="G163" s="397"/>
      <c r="H163" s="397"/>
      <c r="I163" s="397"/>
      <c r="J163" s="397"/>
    </row>
    <row r="164" spans="1:10" ht="16.5">
      <c r="A164" s="382"/>
      <c r="B164" s="395"/>
      <c r="C164" s="396"/>
      <c r="D164" s="396"/>
      <c r="E164" s="397"/>
      <c r="F164" s="397"/>
      <c r="G164" s="397"/>
      <c r="H164" s="397"/>
      <c r="I164" s="397"/>
      <c r="J164" s="397"/>
    </row>
    <row r="165" spans="1:10" ht="16.5">
      <c r="A165" s="382"/>
      <c r="B165" s="395"/>
      <c r="C165" s="396"/>
      <c r="D165" s="396"/>
      <c r="E165" s="397"/>
      <c r="F165" s="397"/>
      <c r="G165" s="397"/>
      <c r="H165" s="397"/>
      <c r="I165" s="397"/>
      <c r="J165" s="397"/>
    </row>
    <row r="166" spans="1:10" ht="16.5">
      <c r="A166" s="382"/>
      <c r="B166" s="395"/>
      <c r="C166" s="396"/>
      <c r="D166" s="396"/>
      <c r="E166" s="397"/>
      <c r="F166" s="397"/>
      <c r="G166" s="397"/>
      <c r="H166" s="397"/>
      <c r="I166" s="397"/>
      <c r="J166" s="397"/>
    </row>
    <row r="167" spans="1:10" ht="16.5">
      <c r="A167" s="382"/>
      <c r="B167" s="395"/>
      <c r="C167" s="396"/>
      <c r="D167" s="396"/>
      <c r="E167" s="397"/>
      <c r="F167" s="397"/>
      <c r="G167" s="397"/>
      <c r="H167" s="397"/>
      <c r="I167" s="397"/>
      <c r="J167" s="397"/>
    </row>
    <row r="168" spans="1:10" ht="16.5">
      <c r="A168" s="382"/>
      <c r="B168" s="395"/>
      <c r="C168" s="396"/>
      <c r="D168" s="396"/>
      <c r="E168" s="397"/>
      <c r="F168" s="397"/>
      <c r="G168" s="397"/>
      <c r="H168" s="397"/>
      <c r="I168" s="397"/>
      <c r="J168" s="397"/>
    </row>
    <row r="169" spans="1:10" ht="16.5">
      <c r="A169" s="382"/>
      <c r="B169" s="395"/>
      <c r="C169" s="396"/>
      <c r="D169" s="396"/>
      <c r="E169" s="397"/>
      <c r="F169" s="397"/>
      <c r="G169" s="397"/>
      <c r="H169" s="397"/>
      <c r="I169" s="397"/>
      <c r="J169" s="397"/>
    </row>
    <row r="170" spans="1:10" ht="16.5">
      <c r="A170" s="382"/>
      <c r="B170" s="395"/>
      <c r="C170" s="396"/>
      <c r="D170" s="396"/>
      <c r="E170" s="397"/>
      <c r="F170" s="397"/>
      <c r="G170" s="397"/>
      <c r="H170" s="397"/>
      <c r="I170" s="397"/>
      <c r="J170" s="397"/>
    </row>
    <row r="171" spans="1:10" ht="16.5">
      <c r="A171" s="382"/>
      <c r="B171" s="395"/>
      <c r="C171" s="396"/>
      <c r="D171" s="396"/>
      <c r="E171" s="397"/>
      <c r="F171" s="397"/>
      <c r="G171" s="397"/>
      <c r="H171" s="397"/>
      <c r="I171" s="397"/>
      <c r="J171" s="397"/>
    </row>
    <row r="172" spans="1:10" ht="16.5">
      <c r="A172" s="382"/>
      <c r="B172" s="395"/>
      <c r="C172" s="396"/>
      <c r="D172" s="396"/>
      <c r="E172" s="397"/>
      <c r="F172" s="397"/>
      <c r="G172" s="397"/>
      <c r="H172" s="397"/>
      <c r="I172" s="397"/>
      <c r="J172" s="397"/>
    </row>
    <row r="173" spans="1:10" ht="16.5">
      <c r="A173" s="382"/>
      <c r="B173" s="395"/>
      <c r="C173" s="396"/>
      <c r="D173" s="396"/>
      <c r="E173" s="397"/>
      <c r="F173" s="397"/>
      <c r="G173" s="397"/>
      <c r="H173" s="397"/>
      <c r="I173" s="397"/>
      <c r="J173" s="397"/>
    </row>
    <row r="174" spans="1:10" ht="16.5">
      <c r="A174" s="382"/>
      <c r="B174" s="395"/>
      <c r="C174" s="396"/>
      <c r="D174" s="396"/>
      <c r="E174" s="397"/>
      <c r="F174" s="397"/>
      <c r="G174" s="397"/>
      <c r="H174" s="397"/>
      <c r="I174" s="397"/>
      <c r="J174" s="397"/>
    </row>
    <row r="175" spans="1:10" ht="16.5">
      <c r="A175" s="382"/>
      <c r="B175" s="395"/>
      <c r="C175" s="396"/>
      <c r="D175" s="396"/>
      <c r="E175" s="397"/>
      <c r="F175" s="397"/>
      <c r="G175" s="397"/>
      <c r="H175" s="397"/>
      <c r="I175" s="397"/>
      <c r="J175" s="397"/>
    </row>
    <row r="176" spans="1:10" ht="16.5">
      <c r="A176" s="382"/>
      <c r="B176" s="395"/>
      <c r="C176" s="396"/>
      <c r="D176" s="396"/>
      <c r="E176" s="397"/>
      <c r="F176" s="397"/>
      <c r="G176" s="397"/>
      <c r="H176" s="397"/>
      <c r="I176" s="397"/>
      <c r="J176" s="397"/>
    </row>
    <row r="177" spans="1:10" ht="16.5">
      <c r="A177" s="382"/>
      <c r="B177" s="395"/>
      <c r="C177" s="396"/>
      <c r="D177" s="396"/>
      <c r="E177" s="397"/>
      <c r="F177" s="397"/>
      <c r="G177" s="397"/>
      <c r="H177" s="397"/>
      <c r="I177" s="397"/>
      <c r="J177" s="397"/>
    </row>
    <row r="178" spans="1:10" ht="16.5">
      <c r="A178" s="382"/>
      <c r="B178" s="395"/>
      <c r="C178" s="396"/>
      <c r="D178" s="396"/>
      <c r="E178" s="397"/>
      <c r="F178" s="397"/>
      <c r="G178" s="397"/>
      <c r="H178" s="397"/>
      <c r="I178" s="397"/>
      <c r="J178" s="397"/>
    </row>
    <row r="179" spans="1:10" ht="16.5">
      <c r="A179" s="382"/>
      <c r="B179" s="395"/>
      <c r="C179" s="396"/>
      <c r="D179" s="396"/>
      <c r="E179" s="397"/>
      <c r="F179" s="397"/>
      <c r="G179" s="397"/>
      <c r="H179" s="397"/>
      <c r="I179" s="397"/>
      <c r="J179" s="397"/>
    </row>
    <row r="180" spans="1:10" ht="16.5">
      <c r="A180" s="382"/>
      <c r="B180" s="395"/>
      <c r="C180" s="396"/>
      <c r="D180" s="396"/>
      <c r="E180" s="397"/>
      <c r="F180" s="397"/>
      <c r="G180" s="397"/>
      <c r="H180" s="397"/>
      <c r="I180" s="397"/>
      <c r="J180" s="397"/>
    </row>
    <row r="181" spans="1:10" ht="16.5">
      <c r="A181" s="382"/>
      <c r="B181" s="395"/>
      <c r="C181" s="396"/>
      <c r="D181" s="396"/>
      <c r="E181" s="397"/>
      <c r="F181" s="397"/>
      <c r="G181" s="397"/>
      <c r="H181" s="397"/>
      <c r="I181" s="397"/>
      <c r="J181" s="397"/>
    </row>
    <row r="182" spans="1:10" ht="16.5">
      <c r="A182" s="382"/>
      <c r="B182" s="395"/>
      <c r="C182" s="396"/>
      <c r="D182" s="396"/>
      <c r="E182" s="397"/>
      <c r="F182" s="397"/>
      <c r="G182" s="397"/>
      <c r="H182" s="397"/>
      <c r="I182" s="397"/>
      <c r="J182" s="397"/>
    </row>
    <row r="183" spans="1:10" ht="16.5">
      <c r="A183" s="382"/>
      <c r="B183" s="395"/>
      <c r="C183" s="396"/>
      <c r="D183" s="396"/>
      <c r="E183" s="397"/>
      <c r="F183" s="397"/>
      <c r="G183" s="397"/>
      <c r="H183" s="397"/>
      <c r="I183" s="397"/>
      <c r="J183" s="397"/>
    </row>
    <row r="184" spans="1:10" ht="16.5">
      <c r="A184" s="382"/>
      <c r="B184" s="395"/>
      <c r="C184" s="396"/>
      <c r="D184" s="396"/>
      <c r="E184" s="397"/>
      <c r="F184" s="397"/>
      <c r="G184" s="397"/>
      <c r="H184" s="397"/>
      <c r="I184" s="397"/>
      <c r="J184" s="397"/>
    </row>
    <row r="185" spans="1:10" ht="16.5">
      <c r="A185" s="382"/>
      <c r="B185" s="395"/>
      <c r="C185" s="396"/>
      <c r="D185" s="396"/>
      <c r="E185" s="397"/>
      <c r="F185" s="397"/>
      <c r="G185" s="397"/>
      <c r="H185" s="397"/>
      <c r="I185" s="397"/>
      <c r="J185" s="397"/>
    </row>
    <row r="186" spans="1:10" ht="16.5">
      <c r="A186" s="382"/>
      <c r="B186" s="395"/>
      <c r="C186" s="396"/>
      <c r="D186" s="396"/>
      <c r="E186" s="397"/>
      <c r="F186" s="397"/>
      <c r="G186" s="397"/>
      <c r="H186" s="397"/>
      <c r="I186" s="397"/>
      <c r="J186" s="397"/>
    </row>
    <row r="187" spans="1:10" ht="16.5">
      <c r="A187" s="382"/>
      <c r="B187" s="395"/>
      <c r="C187" s="396"/>
      <c r="D187" s="396"/>
      <c r="E187" s="397"/>
      <c r="F187" s="397"/>
      <c r="G187" s="397"/>
      <c r="H187" s="397"/>
      <c r="I187" s="397"/>
      <c r="J187" s="397"/>
    </row>
    <row r="188" spans="1:10" ht="16.5">
      <c r="A188" s="382"/>
      <c r="B188" s="395"/>
      <c r="C188" s="396"/>
      <c r="D188" s="396"/>
      <c r="E188" s="397"/>
      <c r="F188" s="397"/>
      <c r="G188" s="397"/>
      <c r="H188" s="397"/>
      <c r="I188" s="397"/>
      <c r="J188" s="397"/>
    </row>
    <row r="189" spans="1:10" ht="16.5">
      <c r="A189" s="382"/>
      <c r="B189" s="395"/>
      <c r="C189" s="396"/>
      <c r="D189" s="396"/>
      <c r="E189" s="397"/>
      <c r="F189" s="397"/>
      <c r="G189" s="397"/>
      <c r="H189" s="397"/>
      <c r="I189" s="397"/>
      <c r="J189" s="397"/>
    </row>
    <row r="190" spans="1:10" ht="16.5">
      <c r="A190" s="382"/>
      <c r="B190" s="395"/>
      <c r="C190" s="396"/>
      <c r="D190" s="396"/>
      <c r="E190" s="397"/>
      <c r="F190" s="397"/>
      <c r="G190" s="397"/>
      <c r="H190" s="397"/>
      <c r="I190" s="397"/>
      <c r="J190" s="397"/>
    </row>
    <row r="191" spans="1:10" ht="16.5">
      <c r="A191" s="382"/>
      <c r="B191" s="395"/>
      <c r="C191" s="396"/>
      <c r="D191" s="396"/>
      <c r="E191" s="397"/>
      <c r="F191" s="397"/>
      <c r="G191" s="397"/>
      <c r="H191" s="397"/>
      <c r="I191" s="397"/>
      <c r="J191" s="397"/>
    </row>
    <row r="192" spans="1:10" ht="16.5">
      <c r="A192" s="382"/>
      <c r="B192" s="395"/>
      <c r="C192" s="396"/>
      <c r="D192" s="396"/>
      <c r="E192" s="397"/>
      <c r="F192" s="397"/>
      <c r="G192" s="397"/>
      <c r="H192" s="397"/>
      <c r="I192" s="397"/>
      <c r="J192" s="397"/>
    </row>
    <row r="193" spans="1:10" ht="16.5">
      <c r="A193" s="382"/>
      <c r="B193" s="395"/>
      <c r="C193" s="396"/>
      <c r="D193" s="396"/>
      <c r="E193" s="397"/>
      <c r="F193" s="397"/>
      <c r="G193" s="397"/>
      <c r="H193" s="397"/>
      <c r="I193" s="397"/>
      <c r="J193" s="397"/>
    </row>
    <row r="194" spans="1:10" ht="16.5">
      <c r="A194" s="382"/>
      <c r="B194" s="395"/>
      <c r="C194" s="396"/>
      <c r="D194" s="396"/>
      <c r="E194" s="397"/>
      <c r="F194" s="397"/>
      <c r="G194" s="397"/>
      <c r="H194" s="397"/>
      <c r="I194" s="397"/>
      <c r="J194" s="397"/>
    </row>
    <row r="195" spans="1:10" ht="16.5">
      <c r="A195" s="382"/>
      <c r="B195" s="395"/>
      <c r="C195" s="396"/>
      <c r="D195" s="396"/>
      <c r="E195" s="397"/>
      <c r="F195" s="397"/>
      <c r="G195" s="397"/>
      <c r="H195" s="397"/>
      <c r="I195" s="397"/>
      <c r="J195" s="397"/>
    </row>
    <row r="196" spans="1:10" ht="16.5">
      <c r="A196" s="382"/>
      <c r="B196" s="395"/>
      <c r="C196" s="396"/>
      <c r="D196" s="396"/>
      <c r="E196" s="397"/>
      <c r="F196" s="397"/>
      <c r="G196" s="397"/>
      <c r="H196" s="397"/>
      <c r="I196" s="397"/>
      <c r="J196" s="397"/>
    </row>
    <row r="197" spans="1:10" ht="16.5">
      <c r="A197" s="382"/>
      <c r="B197" s="395"/>
      <c r="C197" s="396"/>
      <c r="D197" s="396"/>
      <c r="E197" s="397"/>
      <c r="F197" s="397"/>
      <c r="G197" s="397"/>
      <c r="H197" s="397"/>
      <c r="I197" s="397"/>
      <c r="J197" s="397"/>
    </row>
    <row r="198" spans="1:10" ht="16.5">
      <c r="A198" s="382"/>
      <c r="B198" s="395"/>
      <c r="C198" s="396"/>
      <c r="D198" s="396"/>
      <c r="E198" s="397"/>
      <c r="F198" s="397"/>
      <c r="G198" s="397"/>
      <c r="H198" s="397"/>
      <c r="I198" s="397"/>
      <c r="J198" s="397"/>
    </row>
    <row r="199" spans="1:10" ht="16.5">
      <c r="A199" s="382"/>
      <c r="B199" s="395"/>
      <c r="C199" s="396"/>
      <c r="D199" s="396"/>
      <c r="E199" s="397"/>
      <c r="F199" s="397"/>
      <c r="G199" s="397"/>
      <c r="H199" s="397"/>
      <c r="I199" s="397"/>
      <c r="J199" s="397"/>
    </row>
    <row r="200" spans="1:10" ht="16.5">
      <c r="A200" s="382"/>
      <c r="B200" s="395"/>
      <c r="C200" s="396"/>
      <c r="D200" s="396"/>
      <c r="E200" s="397"/>
      <c r="F200" s="397"/>
      <c r="G200" s="397"/>
      <c r="H200" s="397"/>
      <c r="I200" s="397"/>
      <c r="J200" s="397"/>
    </row>
    <row r="201" spans="1:10" ht="16.5">
      <c r="A201" s="382"/>
      <c r="B201" s="395"/>
      <c r="C201" s="396"/>
      <c r="D201" s="396"/>
      <c r="E201" s="397"/>
      <c r="F201" s="397"/>
      <c r="G201" s="397"/>
      <c r="H201" s="397"/>
      <c r="I201" s="397"/>
      <c r="J201" s="397"/>
    </row>
    <row r="202" spans="1:10" ht="16.5">
      <c r="A202" s="382"/>
      <c r="B202" s="395"/>
      <c r="C202" s="396"/>
      <c r="D202" s="396"/>
      <c r="E202" s="397"/>
      <c r="F202" s="397"/>
      <c r="G202" s="397"/>
      <c r="H202" s="397"/>
      <c r="I202" s="397"/>
      <c r="J202" s="397"/>
    </row>
    <row r="203" spans="1:10" ht="16.5">
      <c r="A203" s="382"/>
      <c r="B203" s="395"/>
      <c r="C203" s="396"/>
      <c r="D203" s="396"/>
      <c r="E203" s="397"/>
      <c r="F203" s="397"/>
      <c r="G203" s="397"/>
      <c r="H203" s="397"/>
      <c r="I203" s="397"/>
      <c r="J203" s="397"/>
    </row>
    <row r="204" spans="1:10" ht="16.5">
      <c r="A204" s="382"/>
      <c r="B204" s="395"/>
      <c r="C204" s="396"/>
      <c r="D204" s="396"/>
      <c r="E204" s="397"/>
      <c r="F204" s="397"/>
      <c r="G204" s="397"/>
      <c r="H204" s="397"/>
      <c r="I204" s="397"/>
      <c r="J204" s="397"/>
    </row>
    <row r="205" spans="1:10" ht="16.5">
      <c r="A205" s="382"/>
      <c r="B205" s="395"/>
      <c r="C205" s="396"/>
      <c r="D205" s="396"/>
      <c r="E205" s="397"/>
      <c r="F205" s="397"/>
      <c r="G205" s="397"/>
      <c r="H205" s="397"/>
      <c r="I205" s="397"/>
      <c r="J205" s="397"/>
    </row>
    <row r="206" spans="1:10" ht="16.5">
      <c r="A206" s="382"/>
      <c r="B206" s="395"/>
      <c r="C206" s="396"/>
      <c r="D206" s="396"/>
      <c r="E206" s="397"/>
      <c r="F206" s="397"/>
      <c r="G206" s="397"/>
      <c r="H206" s="397"/>
      <c r="I206" s="397"/>
      <c r="J206" s="397"/>
    </row>
    <row r="207" spans="1:10" ht="16.5">
      <c r="A207" s="382"/>
      <c r="B207" s="395"/>
      <c r="C207" s="396"/>
      <c r="D207" s="396"/>
      <c r="E207" s="397"/>
      <c r="F207" s="397"/>
      <c r="G207" s="397"/>
      <c r="H207" s="397"/>
      <c r="I207" s="397"/>
      <c r="J207" s="397"/>
    </row>
    <row r="208" spans="1:10" ht="16.5">
      <c r="A208" s="382"/>
      <c r="B208" s="395"/>
      <c r="C208" s="396"/>
      <c r="D208" s="396"/>
      <c r="E208" s="397"/>
      <c r="F208" s="397"/>
      <c r="G208" s="397"/>
      <c r="H208" s="397"/>
      <c r="I208" s="397"/>
      <c r="J208" s="397"/>
    </row>
    <row r="209" spans="1:10" ht="16.5">
      <c r="A209" s="382"/>
      <c r="B209" s="395"/>
      <c r="C209" s="396"/>
      <c r="D209" s="396"/>
      <c r="E209" s="397"/>
      <c r="F209" s="397"/>
      <c r="G209" s="397"/>
      <c r="H209" s="397"/>
      <c r="I209" s="397"/>
      <c r="J209" s="397"/>
    </row>
    <row r="210" spans="1:10" ht="16.5">
      <c r="A210" s="382"/>
      <c r="B210" s="395"/>
      <c r="C210" s="396"/>
      <c r="D210" s="396"/>
      <c r="E210" s="397"/>
      <c r="F210" s="397"/>
      <c r="G210" s="397"/>
      <c r="H210" s="397"/>
      <c r="I210" s="397"/>
      <c r="J210" s="397"/>
    </row>
    <row r="211" spans="1:10" ht="16.5">
      <c r="A211" s="382"/>
      <c r="B211" s="395"/>
      <c r="C211" s="396"/>
      <c r="D211" s="396"/>
      <c r="E211" s="397"/>
      <c r="F211" s="397"/>
      <c r="G211" s="397"/>
      <c r="H211" s="397"/>
      <c r="I211" s="397"/>
      <c r="J211" s="397"/>
    </row>
    <row r="212" spans="1:10" ht="16.5">
      <c r="A212" s="382"/>
      <c r="B212" s="395"/>
      <c r="C212" s="396"/>
      <c r="D212" s="396"/>
      <c r="E212" s="397"/>
      <c r="F212" s="397"/>
      <c r="G212" s="397"/>
      <c r="H212" s="397"/>
      <c r="I212" s="397"/>
      <c r="J212" s="397"/>
    </row>
    <row r="213" spans="1:10" ht="16.5">
      <c r="A213" s="382"/>
      <c r="B213" s="395"/>
      <c r="C213" s="396"/>
      <c r="D213" s="396"/>
      <c r="E213" s="397"/>
      <c r="F213" s="397"/>
      <c r="G213" s="397"/>
      <c r="H213" s="397"/>
      <c r="I213" s="397"/>
      <c r="J213" s="397"/>
    </row>
    <row r="214" spans="1:10" ht="16.5">
      <c r="A214" s="382"/>
      <c r="B214" s="395"/>
      <c r="C214" s="396"/>
      <c r="D214" s="396"/>
      <c r="E214" s="397"/>
      <c r="F214" s="397"/>
      <c r="G214" s="397"/>
      <c r="H214" s="397"/>
      <c r="I214" s="397"/>
      <c r="J214" s="397"/>
    </row>
    <row r="215" spans="1:10" ht="16.5">
      <c r="A215" s="382"/>
      <c r="B215" s="395"/>
      <c r="C215" s="396"/>
      <c r="D215" s="396"/>
      <c r="E215" s="397"/>
      <c r="F215" s="397"/>
      <c r="G215" s="397"/>
      <c r="H215" s="397"/>
      <c r="I215" s="397"/>
      <c r="J215" s="397"/>
    </row>
    <row r="216" spans="1:10" ht="16.5">
      <c r="A216" s="382"/>
      <c r="B216" s="395"/>
      <c r="C216" s="396"/>
      <c r="D216" s="396"/>
      <c r="E216" s="397"/>
      <c r="F216" s="397"/>
      <c r="G216" s="397"/>
      <c r="H216" s="397"/>
      <c r="I216" s="397"/>
      <c r="J216" s="397"/>
    </row>
    <row r="217" spans="1:10" ht="16.5">
      <c r="A217" s="382"/>
      <c r="B217" s="395"/>
      <c r="C217" s="396"/>
      <c r="D217" s="396"/>
      <c r="E217" s="397"/>
      <c r="F217" s="397"/>
      <c r="G217" s="397"/>
      <c r="H217" s="397"/>
      <c r="I217" s="397"/>
      <c r="J217" s="397"/>
    </row>
    <row r="218" spans="1:10" ht="16.5">
      <c r="A218" s="382"/>
      <c r="B218" s="395"/>
      <c r="C218" s="396"/>
      <c r="D218" s="396"/>
      <c r="E218" s="397"/>
      <c r="F218" s="397"/>
      <c r="G218" s="397"/>
      <c r="H218" s="397"/>
      <c r="I218" s="397"/>
      <c r="J218" s="397"/>
    </row>
    <row r="219" spans="1:10" ht="16.5">
      <c r="A219" s="382"/>
      <c r="B219" s="395"/>
      <c r="C219" s="396"/>
      <c r="D219" s="396"/>
      <c r="E219" s="397"/>
      <c r="F219" s="397"/>
      <c r="G219" s="397"/>
      <c r="H219" s="397"/>
      <c r="I219" s="397"/>
      <c r="J219" s="397"/>
    </row>
    <row r="220" spans="1:10" ht="16.5">
      <c r="A220" s="382"/>
      <c r="B220" s="395"/>
      <c r="C220" s="396"/>
      <c r="D220" s="396"/>
      <c r="E220" s="397"/>
      <c r="F220" s="397"/>
      <c r="G220" s="397"/>
      <c r="H220" s="397"/>
      <c r="I220" s="397"/>
      <c r="J220" s="397"/>
    </row>
    <row r="221" spans="1:10" ht="16.5">
      <c r="A221" s="382"/>
      <c r="B221" s="395"/>
      <c r="C221" s="396"/>
      <c r="D221" s="396"/>
      <c r="E221" s="397"/>
      <c r="F221" s="397"/>
      <c r="G221" s="397"/>
      <c r="H221" s="397"/>
      <c r="I221" s="397"/>
      <c r="J221" s="397"/>
    </row>
    <row r="222" spans="1:10" ht="16.5">
      <c r="A222" s="382"/>
      <c r="B222" s="395"/>
      <c r="C222" s="396"/>
      <c r="D222" s="396"/>
      <c r="E222" s="397"/>
      <c r="F222" s="397"/>
      <c r="G222" s="397"/>
      <c r="H222" s="397"/>
      <c r="I222" s="397"/>
      <c r="J222" s="397"/>
    </row>
    <row r="223" spans="1:10" ht="16.5">
      <c r="A223" s="382"/>
      <c r="B223" s="395"/>
      <c r="C223" s="396"/>
      <c r="D223" s="396"/>
      <c r="E223" s="397"/>
      <c r="F223" s="397"/>
      <c r="G223" s="397"/>
      <c r="H223" s="397"/>
      <c r="I223" s="397"/>
      <c r="J223" s="397"/>
    </row>
    <row r="224" spans="1:10" ht="16.5">
      <c r="A224" s="382"/>
      <c r="B224" s="395"/>
      <c r="C224" s="396"/>
      <c r="D224" s="396"/>
      <c r="E224" s="397"/>
      <c r="F224" s="397"/>
      <c r="G224" s="397"/>
      <c r="H224" s="397"/>
      <c r="I224" s="397"/>
      <c r="J224" s="397"/>
    </row>
    <row r="225" spans="1:10" ht="16.5">
      <c r="A225" s="382"/>
      <c r="B225" s="395"/>
      <c r="C225" s="396"/>
      <c r="D225" s="396"/>
      <c r="E225" s="397"/>
      <c r="F225" s="397"/>
      <c r="G225" s="397"/>
      <c r="H225" s="397"/>
      <c r="I225" s="397"/>
      <c r="J225" s="397"/>
    </row>
    <row r="226" spans="1:10" ht="16.5">
      <c r="A226" s="382"/>
      <c r="B226" s="395"/>
      <c r="C226" s="396"/>
      <c r="D226" s="396"/>
      <c r="E226" s="397"/>
      <c r="F226" s="397"/>
      <c r="G226" s="397"/>
      <c r="H226" s="397"/>
      <c r="I226" s="397"/>
      <c r="J226" s="397"/>
    </row>
    <row r="227" spans="1:10" ht="16.5">
      <c r="A227" s="382"/>
      <c r="B227" s="395"/>
      <c r="C227" s="396"/>
      <c r="D227" s="396"/>
      <c r="E227" s="397"/>
      <c r="F227" s="397"/>
      <c r="G227" s="397"/>
      <c r="H227" s="397"/>
      <c r="I227" s="397"/>
      <c r="J227" s="397"/>
    </row>
    <row r="228" spans="1:10" ht="16.5">
      <c r="A228" s="382"/>
      <c r="B228" s="395"/>
      <c r="C228" s="396"/>
      <c r="D228" s="396"/>
      <c r="E228" s="397"/>
      <c r="F228" s="397"/>
      <c r="G228" s="397"/>
      <c r="H228" s="397"/>
      <c r="I228" s="397"/>
      <c r="J228" s="397"/>
    </row>
    <row r="229" spans="1:10" ht="16.5">
      <c r="A229" s="382"/>
      <c r="B229" s="395"/>
      <c r="C229" s="396"/>
      <c r="D229" s="396"/>
      <c r="E229" s="397"/>
      <c r="F229" s="397"/>
      <c r="G229" s="397"/>
      <c r="H229" s="397"/>
      <c r="I229" s="397"/>
      <c r="J229" s="397"/>
    </row>
    <row r="230" spans="1:10" ht="16.5">
      <c r="A230" s="382"/>
      <c r="B230" s="395"/>
      <c r="C230" s="396"/>
      <c r="D230" s="396"/>
      <c r="E230" s="397"/>
      <c r="F230" s="397"/>
      <c r="G230" s="397"/>
      <c r="H230" s="397"/>
      <c r="I230" s="397"/>
      <c r="J230" s="397"/>
    </row>
    <row r="231" spans="1:10" ht="16.5">
      <c r="A231" s="382"/>
      <c r="B231" s="395"/>
      <c r="C231" s="396"/>
      <c r="D231" s="396"/>
      <c r="E231" s="397"/>
      <c r="F231" s="397"/>
      <c r="G231" s="397"/>
      <c r="H231" s="397"/>
      <c r="I231" s="397"/>
      <c r="J231" s="397"/>
    </row>
    <row r="232" spans="1:10" ht="16.5">
      <c r="A232" s="382"/>
      <c r="B232" s="395"/>
      <c r="C232" s="396"/>
      <c r="D232" s="396"/>
      <c r="E232" s="397"/>
      <c r="F232" s="397"/>
      <c r="G232" s="397"/>
      <c r="H232" s="397"/>
      <c r="I232" s="397"/>
      <c r="J232" s="397"/>
    </row>
    <row r="233" spans="1:10" ht="16.5">
      <c r="A233" s="382"/>
      <c r="B233" s="395"/>
      <c r="C233" s="396"/>
      <c r="D233" s="396"/>
      <c r="E233" s="397"/>
      <c r="F233" s="397"/>
      <c r="G233" s="397"/>
      <c r="H233" s="397"/>
      <c r="I233" s="397"/>
      <c r="J233" s="397"/>
    </row>
    <row r="234" spans="1:10" ht="16.5">
      <c r="A234" s="382"/>
      <c r="B234" s="395"/>
      <c r="C234" s="396"/>
      <c r="D234" s="396"/>
      <c r="E234" s="397"/>
      <c r="F234" s="397"/>
      <c r="G234" s="397"/>
      <c r="H234" s="397"/>
      <c r="I234" s="397"/>
      <c r="J234" s="397"/>
    </row>
    <row r="235" spans="1:10" ht="16.5">
      <c r="A235" s="382"/>
      <c r="B235" s="395"/>
      <c r="C235" s="396"/>
      <c r="D235" s="396"/>
      <c r="E235" s="397"/>
      <c r="F235" s="397"/>
      <c r="G235" s="397"/>
      <c r="H235" s="397"/>
      <c r="I235" s="397"/>
      <c r="J235" s="397"/>
    </row>
    <row r="236" spans="1:10" ht="16.5">
      <c r="A236" s="382"/>
      <c r="B236" s="395"/>
      <c r="C236" s="396"/>
      <c r="D236" s="396"/>
      <c r="E236" s="397"/>
      <c r="F236" s="397"/>
      <c r="G236" s="397"/>
      <c r="H236" s="397"/>
      <c r="I236" s="397"/>
      <c r="J236" s="397"/>
    </row>
    <row r="237" spans="1:10" ht="16.5">
      <c r="A237" s="382"/>
      <c r="B237" s="395"/>
      <c r="C237" s="396"/>
      <c r="D237" s="396"/>
      <c r="E237" s="397"/>
      <c r="F237" s="397"/>
      <c r="G237" s="397"/>
      <c r="H237" s="397"/>
      <c r="I237" s="397"/>
      <c r="J237" s="397"/>
    </row>
    <row r="238" spans="1:10" ht="16.5">
      <c r="A238" s="382"/>
      <c r="B238" s="395"/>
      <c r="C238" s="396"/>
      <c r="D238" s="396"/>
      <c r="E238" s="397"/>
      <c r="F238" s="397"/>
      <c r="G238" s="397"/>
      <c r="H238" s="397"/>
      <c r="I238" s="397"/>
      <c r="J238" s="397"/>
    </row>
    <row r="239" spans="1:10" ht="16.5">
      <c r="A239" s="382"/>
      <c r="B239" s="395"/>
      <c r="C239" s="396"/>
      <c r="D239" s="396"/>
      <c r="E239" s="397"/>
      <c r="F239" s="397"/>
      <c r="G239" s="397"/>
      <c r="H239" s="397"/>
      <c r="I239" s="397"/>
      <c r="J239" s="397"/>
    </row>
    <row r="240" spans="1:10" ht="16.5">
      <c r="A240" s="382"/>
      <c r="B240" s="395"/>
      <c r="C240" s="396"/>
      <c r="D240" s="396"/>
      <c r="E240" s="397"/>
      <c r="F240" s="397"/>
      <c r="G240" s="397"/>
      <c r="H240" s="397"/>
      <c r="I240" s="397"/>
      <c r="J240" s="397"/>
    </row>
    <row r="241" spans="1:10" ht="16.5">
      <c r="A241" s="382"/>
      <c r="B241" s="395"/>
      <c r="C241" s="396"/>
      <c r="D241" s="396"/>
      <c r="E241" s="397"/>
      <c r="F241" s="397"/>
      <c r="G241" s="397"/>
      <c r="H241" s="397"/>
      <c r="I241" s="397"/>
      <c r="J241" s="397"/>
    </row>
    <row r="242" spans="1:10" ht="16.5">
      <c r="A242" s="382"/>
      <c r="B242" s="395"/>
      <c r="C242" s="396"/>
      <c r="D242" s="396"/>
      <c r="E242" s="397"/>
      <c r="F242" s="397"/>
      <c r="G242" s="397"/>
      <c r="H242" s="397"/>
      <c r="I242" s="397"/>
      <c r="J242" s="397"/>
    </row>
    <row r="243" spans="1:10" ht="16.5">
      <c r="A243" s="382"/>
      <c r="B243" s="395"/>
      <c r="C243" s="396"/>
      <c r="D243" s="396"/>
      <c r="E243" s="397"/>
      <c r="F243" s="397"/>
      <c r="G243" s="397"/>
      <c r="H243" s="397"/>
      <c r="I243" s="397"/>
      <c r="J243" s="397"/>
    </row>
    <row r="244" spans="1:10" ht="16.5">
      <c r="A244" s="382"/>
      <c r="B244" s="395"/>
      <c r="C244" s="396"/>
      <c r="D244" s="396"/>
      <c r="E244" s="397"/>
      <c r="F244" s="397"/>
      <c r="G244" s="397"/>
      <c r="H244" s="397"/>
      <c r="I244" s="397"/>
      <c r="J244" s="397"/>
    </row>
    <row r="245" spans="1:10" ht="16.5">
      <c r="A245" s="382"/>
      <c r="B245" s="395"/>
      <c r="C245" s="396"/>
      <c r="D245" s="396"/>
      <c r="E245" s="397"/>
      <c r="F245" s="397"/>
      <c r="G245" s="397"/>
      <c r="H245" s="397"/>
      <c r="I245" s="397"/>
      <c r="J245" s="397"/>
    </row>
    <row r="246" spans="1:10" ht="16.5">
      <c r="A246" s="382"/>
      <c r="B246" s="395"/>
      <c r="C246" s="396"/>
      <c r="D246" s="396"/>
      <c r="E246" s="397"/>
      <c r="F246" s="397"/>
      <c r="G246" s="397"/>
      <c r="H246" s="397"/>
      <c r="I246" s="397"/>
      <c r="J246" s="397"/>
    </row>
    <row r="247" spans="1:10" ht="16.5">
      <c r="A247" s="382"/>
      <c r="B247" s="395"/>
      <c r="C247" s="396"/>
      <c r="D247" s="396"/>
      <c r="E247" s="397"/>
      <c r="F247" s="397"/>
      <c r="G247" s="397"/>
      <c r="H247" s="397"/>
      <c r="I247" s="397"/>
      <c r="J247" s="397"/>
    </row>
    <row r="248" spans="1:10" ht="16.5">
      <c r="A248" s="382"/>
      <c r="B248" s="395"/>
      <c r="C248" s="396"/>
      <c r="D248" s="396"/>
      <c r="E248" s="397"/>
      <c r="F248" s="397"/>
      <c r="G248" s="397"/>
      <c r="H248" s="397"/>
      <c r="I248" s="397"/>
      <c r="J248" s="397"/>
    </row>
    <row r="249" spans="1:10" ht="16.5">
      <c r="A249" s="382"/>
      <c r="B249" s="395"/>
      <c r="C249" s="396"/>
      <c r="D249" s="396"/>
      <c r="E249" s="397"/>
      <c r="F249" s="397"/>
      <c r="G249" s="397"/>
      <c r="H249" s="397"/>
      <c r="I249" s="397"/>
      <c r="J249" s="397"/>
    </row>
  </sheetData>
  <sheetProtection/>
  <mergeCells count="5">
    <mergeCell ref="B13:D13"/>
    <mergeCell ref="I1:J1"/>
    <mergeCell ref="B2:J2"/>
    <mergeCell ref="A3:J3"/>
    <mergeCell ref="A4:J4"/>
  </mergeCells>
  <printOptions horizontalCentered="1"/>
  <pageMargins left="0" right="0" top="0" bottom="0" header="0.5118110236220472" footer="0.5905511811023623"/>
  <pageSetup fitToHeight="0" fitToWidth="1" horizontalDpi="600" verticalDpi="600" orientation="landscape" paperSize="9" scale="8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Y74"/>
  <sheetViews>
    <sheetView zoomScalePageLayoutView="0" workbookViewId="0" topLeftCell="A1">
      <selection activeCell="J18" sqref="J18"/>
    </sheetView>
  </sheetViews>
  <sheetFormatPr defaultColWidth="11.421875" defaultRowHeight="12.75"/>
  <cols>
    <col min="1" max="1" width="31.421875" style="121" customWidth="1"/>
    <col min="2" max="2" width="11.140625" style="121" customWidth="1"/>
    <col min="3" max="3" width="2.140625" style="121" customWidth="1"/>
    <col min="4" max="4" width="10.8515625" style="121" customWidth="1"/>
    <col min="5" max="9" width="13.421875" style="121" hidden="1" customWidth="1"/>
    <col min="10" max="10" width="13.421875" style="121" customWidth="1"/>
    <col min="11" max="11" width="11.00390625" style="121" customWidth="1"/>
    <col min="12" max="12" width="1.8515625" style="121" customWidth="1"/>
    <col min="13" max="13" width="9.8515625" style="121" customWidth="1"/>
    <col min="14" max="14" width="11.00390625" style="121" customWidth="1"/>
    <col min="15" max="15" width="2.00390625" style="121" customWidth="1"/>
    <col min="16" max="16" width="10.140625" style="121" customWidth="1"/>
    <col min="17" max="17" width="11.421875" style="121" customWidth="1"/>
    <col min="18" max="18" width="1.8515625" style="121" customWidth="1"/>
    <col min="19" max="19" width="9.57421875" style="121" customWidth="1"/>
    <col min="20" max="20" width="11.140625" style="121" customWidth="1"/>
    <col min="21" max="21" width="1.421875" style="121" customWidth="1"/>
    <col min="22" max="22" width="10.8515625" style="121" customWidth="1"/>
    <col min="23" max="16384" width="11.421875" style="121" customWidth="1"/>
  </cols>
  <sheetData>
    <row r="1" spans="8:25" ht="33.75" customHeight="1">
      <c r="H1" s="1829"/>
      <c r="I1" s="1829"/>
      <c r="V1" s="139" t="s">
        <v>197</v>
      </c>
      <c r="W1" s="158"/>
      <c r="X1" s="158"/>
      <c r="Y1" s="158"/>
    </row>
    <row r="2" spans="1:20" ht="30.75" customHeight="1">
      <c r="A2" s="1831" t="s">
        <v>52</v>
      </c>
      <c r="B2" s="1831"/>
      <c r="C2" s="1831"/>
      <c r="D2" s="1831"/>
      <c r="E2" s="1831"/>
      <c r="F2" s="1831"/>
      <c r="G2" s="1831"/>
      <c r="H2" s="1831"/>
      <c r="I2" s="1831"/>
      <c r="J2" s="1831"/>
      <c r="K2" s="1831"/>
      <c r="L2" s="1831"/>
      <c r="M2" s="1831"/>
      <c r="N2" s="1831"/>
      <c r="O2" s="1831"/>
      <c r="P2" s="1831"/>
      <c r="Q2" s="1831"/>
      <c r="R2" s="1831"/>
      <c r="S2" s="1831"/>
      <c r="T2" s="1831"/>
    </row>
    <row r="3" spans="1:9" ht="14.25" customHeight="1">
      <c r="A3" s="107"/>
      <c r="B3" s="107"/>
      <c r="C3" s="107"/>
      <c r="D3" s="107"/>
      <c r="E3" s="107"/>
      <c r="F3" s="107"/>
      <c r="G3" s="107"/>
      <c r="H3" s="1829"/>
      <c r="I3" s="1829"/>
    </row>
    <row r="4" spans="1:20" ht="27" customHeight="1">
      <c r="A4" s="108"/>
      <c r="B4" s="108"/>
      <c r="C4" s="108"/>
      <c r="D4" s="108"/>
      <c r="E4" s="108"/>
      <c r="F4" s="108"/>
      <c r="G4" s="108"/>
      <c r="H4" s="1830" t="s">
        <v>53</v>
      </c>
      <c r="I4" s="1830"/>
      <c r="J4" s="1830"/>
      <c r="K4" s="1830"/>
      <c r="L4" s="1830"/>
      <c r="M4" s="1830"/>
      <c r="N4" s="1830"/>
      <c r="O4" s="1830"/>
      <c r="P4" s="1830"/>
      <c r="Q4" s="1830"/>
      <c r="R4" s="1830"/>
      <c r="S4" s="1830"/>
      <c r="T4" s="1830"/>
    </row>
    <row r="5" spans="1:22" ht="43.5" customHeight="1">
      <c r="A5" s="122"/>
      <c r="B5" s="1832" t="s">
        <v>54</v>
      </c>
      <c r="C5" s="1833"/>
      <c r="D5" s="1834"/>
      <c r="E5" s="109" t="s">
        <v>55</v>
      </c>
      <c r="F5" s="109" t="s">
        <v>56</v>
      </c>
      <c r="G5" s="109" t="s">
        <v>57</v>
      </c>
      <c r="H5" s="109" t="s">
        <v>58</v>
      </c>
      <c r="I5" s="109" t="s">
        <v>59</v>
      </c>
      <c r="J5" s="129" t="s">
        <v>135</v>
      </c>
      <c r="K5" s="1832" t="s">
        <v>60</v>
      </c>
      <c r="L5" s="1833"/>
      <c r="M5" s="1834"/>
      <c r="N5" s="1832" t="s">
        <v>61</v>
      </c>
      <c r="O5" s="1833"/>
      <c r="P5" s="1834"/>
      <c r="Q5" s="1832" t="s">
        <v>62</v>
      </c>
      <c r="R5" s="1833"/>
      <c r="S5" s="1834"/>
      <c r="T5" s="1832" t="s">
        <v>63</v>
      </c>
      <c r="U5" s="1833"/>
      <c r="V5" s="1834"/>
    </row>
    <row r="6" spans="1:20" s="133" customFormat="1" ht="36" customHeight="1" hidden="1">
      <c r="A6" s="130" t="s">
        <v>204</v>
      </c>
      <c r="B6" s="131"/>
      <c r="C6" s="131"/>
      <c r="D6" s="131"/>
      <c r="E6" s="131"/>
      <c r="F6" s="131"/>
      <c r="G6" s="131"/>
      <c r="H6" s="131"/>
      <c r="I6" s="131"/>
      <c r="J6" s="132"/>
      <c r="K6" s="131"/>
      <c r="L6" s="131"/>
      <c r="M6" s="131"/>
      <c r="N6" s="131"/>
      <c r="O6" s="131"/>
      <c r="P6" s="131"/>
      <c r="Q6" s="131"/>
      <c r="R6" s="131"/>
      <c r="S6" s="131"/>
      <c r="T6" s="142"/>
    </row>
    <row r="7" spans="1:22" s="114" customFormat="1" ht="24.75" customHeight="1">
      <c r="A7" s="110" t="s">
        <v>64</v>
      </c>
      <c r="B7" s="161" t="e">
        <f>+J7+K7+N7+Q7+T7</f>
        <v>#REF!</v>
      </c>
      <c r="C7" s="146" t="s">
        <v>207</v>
      </c>
      <c r="D7" s="163" t="e">
        <f>+B41</f>
        <v>#REF!</v>
      </c>
      <c r="E7" s="112"/>
      <c r="F7" s="113">
        <f>F8-F9</f>
        <v>-10360</v>
      </c>
      <c r="G7" s="113"/>
      <c r="H7" s="113">
        <f>H8-H9</f>
        <v>-14960</v>
      </c>
      <c r="I7" s="113">
        <f>I8-I9</f>
        <v>-14800</v>
      </c>
      <c r="J7" s="113" t="e">
        <f>+J8-J9</f>
        <v>#REF!</v>
      </c>
      <c r="K7" s="159" t="e">
        <f>+K8-K9</f>
        <v>#REF!</v>
      </c>
      <c r="L7" s="150" t="s">
        <v>207</v>
      </c>
      <c r="M7" s="165" t="e">
        <f>+K41</f>
        <v>#REF!</v>
      </c>
      <c r="N7" s="159" t="e">
        <f>+N8-N9</f>
        <v>#REF!</v>
      </c>
      <c r="O7" s="150" t="s">
        <v>207</v>
      </c>
      <c r="P7" s="165" t="e">
        <f>+N41</f>
        <v>#REF!</v>
      </c>
      <c r="Q7" s="159" t="e">
        <f>+Q8-Q9</f>
        <v>#REF!</v>
      </c>
      <c r="R7" s="150" t="s">
        <v>207</v>
      </c>
      <c r="S7" s="165" t="e">
        <f>+Q41</f>
        <v>#REF!</v>
      </c>
      <c r="T7" s="159" t="e">
        <f>+T8-T9</f>
        <v>#REF!</v>
      </c>
      <c r="U7" s="153" t="s">
        <v>207</v>
      </c>
      <c r="V7" s="165" t="e">
        <f>+T41</f>
        <v>#REF!</v>
      </c>
    </row>
    <row r="8" spans="1:22" s="125" customFormat="1" ht="24.75" customHeight="1">
      <c r="A8" s="123" t="s">
        <v>65</v>
      </c>
      <c r="B8" s="162" t="e">
        <f aca="true" t="shared" si="0" ref="B8:B18">+J8+K8+N8+Q8+T8</f>
        <v>#REF!</v>
      </c>
      <c r="C8" s="147" t="s">
        <v>207</v>
      </c>
      <c r="D8" s="164" t="e">
        <f aca="true" t="shared" si="1" ref="D8:D39">+B42</f>
        <v>#REF!</v>
      </c>
      <c r="E8" s="124"/>
      <c r="F8" s="118">
        <v>48561</v>
      </c>
      <c r="G8" s="118"/>
      <c r="H8" s="118">
        <v>64000</v>
      </c>
      <c r="I8" s="118">
        <v>76700</v>
      </c>
      <c r="J8" s="118" t="e">
        <f>+#REF!*1000</f>
        <v>#REF!</v>
      </c>
      <c r="K8" s="160" t="e">
        <f>+#REF!*1000</f>
        <v>#REF!</v>
      </c>
      <c r="L8" s="148" t="s">
        <v>207</v>
      </c>
      <c r="M8" s="166" t="e">
        <f aca="true" t="shared" si="2" ref="M8:M39">+K42</f>
        <v>#REF!</v>
      </c>
      <c r="N8" s="160" t="e">
        <f>+#REF!*1000</f>
        <v>#REF!</v>
      </c>
      <c r="O8" s="148" t="s">
        <v>207</v>
      </c>
      <c r="P8" s="166" t="e">
        <f aca="true" t="shared" si="3" ref="P8:P39">+N42</f>
        <v>#REF!</v>
      </c>
      <c r="Q8" s="160" t="e">
        <f>+#REF!*1000</f>
        <v>#REF!</v>
      </c>
      <c r="R8" s="148" t="s">
        <v>207</v>
      </c>
      <c r="S8" s="166" t="e">
        <f aca="true" t="shared" si="4" ref="S8:S39">+Q42</f>
        <v>#REF!</v>
      </c>
      <c r="T8" s="160" t="e">
        <f>+#REF!*1000</f>
        <v>#REF!</v>
      </c>
      <c r="U8" s="154" t="s">
        <v>207</v>
      </c>
      <c r="V8" s="166" t="e">
        <f aca="true" t="shared" si="5" ref="V8:V39">+T42</f>
        <v>#REF!</v>
      </c>
    </row>
    <row r="9" spans="1:22" s="125" customFormat="1" ht="24.75" customHeight="1">
      <c r="A9" s="123" t="s">
        <v>66</v>
      </c>
      <c r="B9" s="162" t="e">
        <f t="shared" si="0"/>
        <v>#REF!</v>
      </c>
      <c r="C9" s="147" t="s">
        <v>207</v>
      </c>
      <c r="D9" s="164" t="e">
        <f t="shared" si="1"/>
        <v>#REF!</v>
      </c>
      <c r="E9" s="124"/>
      <c r="F9" s="118">
        <v>58921</v>
      </c>
      <c r="G9" s="126"/>
      <c r="H9" s="126">
        <v>78960</v>
      </c>
      <c r="I9" s="126">
        <v>91500</v>
      </c>
      <c r="J9" s="118" t="e">
        <f>0.9*J10</f>
        <v>#REF!</v>
      </c>
      <c r="K9" s="160" t="e">
        <f>0.9*K10</f>
        <v>#REF!</v>
      </c>
      <c r="L9" s="148" t="s">
        <v>207</v>
      </c>
      <c r="M9" s="166" t="e">
        <f t="shared" si="2"/>
        <v>#REF!</v>
      </c>
      <c r="N9" s="160" t="e">
        <f>0.9*N10</f>
        <v>#REF!</v>
      </c>
      <c r="O9" s="148" t="s">
        <v>207</v>
      </c>
      <c r="P9" s="166" t="e">
        <f t="shared" si="3"/>
        <v>#REF!</v>
      </c>
      <c r="Q9" s="160" t="e">
        <f>0.9*Q10</f>
        <v>#REF!</v>
      </c>
      <c r="R9" s="148" t="s">
        <v>207</v>
      </c>
      <c r="S9" s="166" t="e">
        <f t="shared" si="4"/>
        <v>#REF!</v>
      </c>
      <c r="T9" s="160" t="e">
        <f>0.9*T10</f>
        <v>#REF!</v>
      </c>
      <c r="U9" s="154" t="s">
        <v>207</v>
      </c>
      <c r="V9" s="166" t="e">
        <f t="shared" si="5"/>
        <v>#REF!</v>
      </c>
    </row>
    <row r="10" spans="1:22" s="125" customFormat="1" ht="24.75" customHeight="1">
      <c r="A10" s="123" t="s">
        <v>67</v>
      </c>
      <c r="B10" s="162" t="e">
        <f t="shared" si="0"/>
        <v>#REF!</v>
      </c>
      <c r="C10" s="147" t="s">
        <v>207</v>
      </c>
      <c r="D10" s="164" t="e">
        <f t="shared" si="1"/>
        <v>#REF!</v>
      </c>
      <c r="E10" s="124"/>
      <c r="F10" s="118">
        <v>62682</v>
      </c>
      <c r="G10" s="126"/>
      <c r="H10" s="126">
        <v>84000</v>
      </c>
      <c r="I10" s="126">
        <v>97400</v>
      </c>
      <c r="J10" s="118" t="e">
        <f>+#REF!*1000</f>
        <v>#REF!</v>
      </c>
      <c r="K10" s="160" t="e">
        <f>+#REF!*1000</f>
        <v>#REF!</v>
      </c>
      <c r="L10" s="148" t="s">
        <v>207</v>
      </c>
      <c r="M10" s="166" t="e">
        <f t="shared" si="2"/>
        <v>#REF!</v>
      </c>
      <c r="N10" s="160" t="e">
        <f>+#REF!*1000</f>
        <v>#REF!</v>
      </c>
      <c r="O10" s="148" t="s">
        <v>207</v>
      </c>
      <c r="P10" s="166" t="e">
        <f t="shared" si="3"/>
        <v>#REF!</v>
      </c>
      <c r="Q10" s="160" t="e">
        <f>+#REF!*1000</f>
        <v>#REF!</v>
      </c>
      <c r="R10" s="148" t="s">
        <v>207</v>
      </c>
      <c r="S10" s="166" t="e">
        <f t="shared" si="4"/>
        <v>#REF!</v>
      </c>
      <c r="T10" s="160" t="e">
        <f>+#REF!*1000</f>
        <v>#REF!</v>
      </c>
      <c r="U10" s="154" t="s">
        <v>207</v>
      </c>
      <c r="V10" s="166" t="e">
        <f t="shared" si="5"/>
        <v>#REF!</v>
      </c>
    </row>
    <row r="11" spans="1:22" s="125" customFormat="1" ht="15" customHeight="1">
      <c r="A11" s="123"/>
      <c r="B11" s="144"/>
      <c r="C11" s="147"/>
      <c r="D11" s="140"/>
      <c r="E11" s="124"/>
      <c r="F11" s="118"/>
      <c r="G11" s="118"/>
      <c r="H11" s="118"/>
      <c r="I11" s="118"/>
      <c r="J11" s="118"/>
      <c r="K11" s="145"/>
      <c r="L11" s="148"/>
      <c r="M11" s="141"/>
      <c r="N11" s="145"/>
      <c r="O11" s="148"/>
      <c r="P11" s="141"/>
      <c r="Q11" s="145"/>
      <c r="R11" s="148"/>
      <c r="S11" s="141"/>
      <c r="T11" s="145"/>
      <c r="U11" s="154"/>
      <c r="V11" s="155"/>
    </row>
    <row r="12" spans="1:22" s="114" customFormat="1" ht="24.75" customHeight="1">
      <c r="A12" s="116" t="s">
        <v>68</v>
      </c>
      <c r="B12" s="1838">
        <f t="shared" si="0"/>
        <v>-11500</v>
      </c>
      <c r="C12" s="1839"/>
      <c r="D12" s="1840"/>
      <c r="E12" s="117"/>
      <c r="F12" s="127">
        <f>F13-F14</f>
        <v>-894</v>
      </c>
      <c r="G12" s="127"/>
      <c r="H12" s="127">
        <v>-1300</v>
      </c>
      <c r="I12" s="127">
        <v>-1391</v>
      </c>
      <c r="J12" s="118">
        <v>-3000</v>
      </c>
      <c r="K12" s="1835">
        <v>-1500</v>
      </c>
      <c r="L12" s="1836"/>
      <c r="M12" s="1837"/>
      <c r="N12" s="1835">
        <v>-2000</v>
      </c>
      <c r="O12" s="1836"/>
      <c r="P12" s="1837"/>
      <c r="Q12" s="1835">
        <v>-2500</v>
      </c>
      <c r="R12" s="1836"/>
      <c r="S12" s="1837"/>
      <c r="T12" s="1835">
        <v>-2500</v>
      </c>
      <c r="U12" s="1836"/>
      <c r="V12" s="1837"/>
    </row>
    <row r="13" spans="1:22" s="125" customFormat="1" ht="24.75" customHeight="1" hidden="1">
      <c r="A13" s="123" t="s">
        <v>69</v>
      </c>
      <c r="B13" s="143">
        <f t="shared" si="0"/>
        <v>0</v>
      </c>
      <c r="C13" s="147" t="s">
        <v>207</v>
      </c>
      <c r="D13" s="140">
        <f t="shared" si="1"/>
        <v>0</v>
      </c>
      <c r="E13" s="124"/>
      <c r="F13" s="118">
        <v>6030</v>
      </c>
      <c r="G13" s="118"/>
      <c r="H13" s="118">
        <v>7055</v>
      </c>
      <c r="I13" s="118">
        <v>7549</v>
      </c>
      <c r="J13" s="118"/>
      <c r="K13" s="145"/>
      <c r="L13" s="148" t="s">
        <v>207</v>
      </c>
      <c r="M13" s="141">
        <f t="shared" si="2"/>
        <v>0</v>
      </c>
      <c r="N13" s="145"/>
      <c r="O13" s="148" t="s">
        <v>207</v>
      </c>
      <c r="P13" s="141">
        <f t="shared" si="3"/>
        <v>0</v>
      </c>
      <c r="Q13" s="145"/>
      <c r="R13" s="148" t="s">
        <v>207</v>
      </c>
      <c r="S13" s="141">
        <f t="shared" si="4"/>
        <v>0</v>
      </c>
      <c r="T13" s="145"/>
      <c r="U13" s="154" t="s">
        <v>207</v>
      </c>
      <c r="V13" s="155">
        <f t="shared" si="5"/>
        <v>0</v>
      </c>
    </row>
    <row r="14" spans="1:22" s="125" customFormat="1" ht="24.75" customHeight="1" hidden="1">
      <c r="A14" s="123" t="s">
        <v>70</v>
      </c>
      <c r="B14" s="143">
        <f t="shared" si="0"/>
        <v>0</v>
      </c>
      <c r="C14" s="147" t="s">
        <v>207</v>
      </c>
      <c r="D14" s="140">
        <f t="shared" si="1"/>
        <v>0</v>
      </c>
      <c r="E14" s="124"/>
      <c r="F14" s="118">
        <v>6924</v>
      </c>
      <c r="G14" s="118"/>
      <c r="H14" s="118">
        <v>8355</v>
      </c>
      <c r="I14" s="118">
        <v>8940</v>
      </c>
      <c r="J14" s="118"/>
      <c r="K14" s="145"/>
      <c r="L14" s="148" t="s">
        <v>207</v>
      </c>
      <c r="M14" s="141">
        <f t="shared" si="2"/>
        <v>0</v>
      </c>
      <c r="N14" s="145"/>
      <c r="O14" s="148" t="s">
        <v>207</v>
      </c>
      <c r="P14" s="141">
        <f t="shared" si="3"/>
        <v>0</v>
      </c>
      <c r="Q14" s="145"/>
      <c r="R14" s="148" t="s">
        <v>207</v>
      </c>
      <c r="S14" s="141">
        <f t="shared" si="4"/>
        <v>0</v>
      </c>
      <c r="T14" s="145"/>
      <c r="U14" s="154" t="s">
        <v>207</v>
      </c>
      <c r="V14" s="155">
        <f t="shared" si="5"/>
        <v>0</v>
      </c>
    </row>
    <row r="15" spans="1:22" s="114" customFormat="1" ht="24.75" customHeight="1">
      <c r="A15" s="116" t="s">
        <v>71</v>
      </c>
      <c r="B15" s="1838">
        <f t="shared" si="0"/>
        <v>-34086</v>
      </c>
      <c r="C15" s="1839"/>
      <c r="D15" s="1840"/>
      <c r="E15" s="117"/>
      <c r="F15" s="127">
        <f>F16-F17</f>
        <v>-2168</v>
      </c>
      <c r="G15" s="127"/>
      <c r="H15" s="127">
        <f>H16-H17</f>
        <v>-2432</v>
      </c>
      <c r="I15" s="127">
        <f>I16-I17</f>
        <v>-2602</v>
      </c>
      <c r="J15" s="118">
        <v>-5124</v>
      </c>
      <c r="K15" s="1835">
        <v>-6950</v>
      </c>
      <c r="L15" s="1836"/>
      <c r="M15" s="1837"/>
      <c r="N15" s="1835">
        <v>-6452</v>
      </c>
      <c r="O15" s="1836"/>
      <c r="P15" s="1837"/>
      <c r="Q15" s="1835">
        <v>-7109</v>
      </c>
      <c r="R15" s="1836"/>
      <c r="S15" s="1837"/>
      <c r="T15" s="1835">
        <v>-8451</v>
      </c>
      <c r="U15" s="1836"/>
      <c r="V15" s="1837"/>
    </row>
    <row r="16" spans="1:22" s="125" customFormat="1" ht="24.75" customHeight="1" hidden="1">
      <c r="A16" s="123" t="s">
        <v>69</v>
      </c>
      <c r="B16" s="143">
        <f t="shared" si="0"/>
        <v>0</v>
      </c>
      <c r="C16" s="147" t="s">
        <v>207</v>
      </c>
      <c r="D16" s="140">
        <f t="shared" si="1"/>
        <v>0</v>
      </c>
      <c r="E16" s="124"/>
      <c r="F16" s="118">
        <v>1093</v>
      </c>
      <c r="G16" s="118"/>
      <c r="H16" s="118">
        <v>1268</v>
      </c>
      <c r="I16" s="118">
        <v>1357</v>
      </c>
      <c r="J16" s="118"/>
      <c r="K16" s="145"/>
      <c r="L16" s="148" t="s">
        <v>207</v>
      </c>
      <c r="M16" s="141">
        <f t="shared" si="2"/>
        <v>0</v>
      </c>
      <c r="N16" s="145"/>
      <c r="O16" s="148" t="s">
        <v>207</v>
      </c>
      <c r="P16" s="141">
        <f t="shared" si="3"/>
        <v>0</v>
      </c>
      <c r="Q16" s="145"/>
      <c r="R16" s="148" t="s">
        <v>207</v>
      </c>
      <c r="S16" s="141">
        <f t="shared" si="4"/>
        <v>0</v>
      </c>
      <c r="T16" s="145"/>
      <c r="U16" s="154" t="s">
        <v>207</v>
      </c>
      <c r="V16" s="155">
        <f t="shared" si="5"/>
        <v>0</v>
      </c>
    </row>
    <row r="17" spans="1:22" s="125" customFormat="1" ht="24.75" customHeight="1" hidden="1">
      <c r="A17" s="123" t="s">
        <v>70</v>
      </c>
      <c r="B17" s="143">
        <f t="shared" si="0"/>
        <v>0</v>
      </c>
      <c r="C17" s="147" t="s">
        <v>207</v>
      </c>
      <c r="D17" s="140">
        <f t="shared" si="1"/>
        <v>0</v>
      </c>
      <c r="E17" s="124"/>
      <c r="F17" s="118">
        <v>3261</v>
      </c>
      <c r="G17" s="118"/>
      <c r="H17" s="118">
        <v>3700</v>
      </c>
      <c r="I17" s="118">
        <v>3959</v>
      </c>
      <c r="J17" s="118"/>
      <c r="K17" s="145"/>
      <c r="L17" s="148" t="s">
        <v>207</v>
      </c>
      <c r="M17" s="141">
        <f t="shared" si="2"/>
        <v>0</v>
      </c>
      <c r="N17" s="145"/>
      <c r="O17" s="148" t="s">
        <v>207</v>
      </c>
      <c r="P17" s="141">
        <f t="shared" si="3"/>
        <v>0</v>
      </c>
      <c r="Q17" s="145"/>
      <c r="R17" s="148" t="s">
        <v>207</v>
      </c>
      <c r="S17" s="141">
        <f t="shared" si="4"/>
        <v>0</v>
      </c>
      <c r="T17" s="145"/>
      <c r="U17" s="154" t="s">
        <v>207</v>
      </c>
      <c r="V17" s="155">
        <f t="shared" si="5"/>
        <v>0</v>
      </c>
    </row>
    <row r="18" spans="1:22" s="114" customFormat="1" ht="24.75" customHeight="1">
      <c r="A18" s="116" t="s">
        <v>72</v>
      </c>
      <c r="B18" s="1838">
        <f t="shared" si="0"/>
        <v>32038</v>
      </c>
      <c r="C18" s="1839"/>
      <c r="D18" s="1840"/>
      <c r="E18" s="117"/>
      <c r="F18" s="127">
        <v>6430</v>
      </c>
      <c r="G18" s="127"/>
      <c r="H18" s="127">
        <v>7257</v>
      </c>
      <c r="I18" s="127">
        <v>8100</v>
      </c>
      <c r="J18" s="118">
        <v>6500</v>
      </c>
      <c r="K18" s="1835">
        <v>5700</v>
      </c>
      <c r="L18" s="1836"/>
      <c r="M18" s="1837"/>
      <c r="N18" s="1835">
        <v>6270</v>
      </c>
      <c r="O18" s="1836"/>
      <c r="P18" s="1837"/>
      <c r="Q18" s="1835">
        <v>6717</v>
      </c>
      <c r="R18" s="1836"/>
      <c r="S18" s="1837"/>
      <c r="T18" s="1835">
        <v>6851</v>
      </c>
      <c r="U18" s="1836"/>
      <c r="V18" s="1837"/>
    </row>
    <row r="19" spans="1:22" s="125" customFormat="1" ht="24.75" customHeight="1" hidden="1">
      <c r="A19" s="123" t="s">
        <v>73</v>
      </c>
      <c r="B19" s="143">
        <f>+SUM(J19:T19)</f>
        <v>0</v>
      </c>
      <c r="C19" s="147" t="s">
        <v>207</v>
      </c>
      <c r="D19" s="140">
        <f t="shared" si="1"/>
        <v>0</v>
      </c>
      <c r="E19" s="124"/>
      <c r="F19" s="118">
        <v>250</v>
      </c>
      <c r="G19" s="118"/>
      <c r="H19" s="118">
        <v>257</v>
      </c>
      <c r="I19" s="118">
        <v>260</v>
      </c>
      <c r="J19" s="118"/>
      <c r="K19" s="145"/>
      <c r="L19" s="148" t="s">
        <v>207</v>
      </c>
      <c r="M19" s="141">
        <f t="shared" si="2"/>
        <v>0</v>
      </c>
      <c r="N19" s="145"/>
      <c r="O19" s="148" t="s">
        <v>207</v>
      </c>
      <c r="P19" s="141">
        <f t="shared" si="3"/>
        <v>0</v>
      </c>
      <c r="Q19" s="145"/>
      <c r="R19" s="148" t="s">
        <v>207</v>
      </c>
      <c r="S19" s="141">
        <f t="shared" si="4"/>
        <v>0</v>
      </c>
      <c r="T19" s="145"/>
      <c r="U19" s="154" t="s">
        <v>207</v>
      </c>
      <c r="V19" s="155">
        <f t="shared" si="5"/>
        <v>0</v>
      </c>
    </row>
    <row r="20" spans="1:22" s="125" customFormat="1" ht="24.75" customHeight="1" hidden="1">
      <c r="A20" s="123" t="s">
        <v>74</v>
      </c>
      <c r="B20" s="143">
        <f>+SUM(J20:T20)</f>
        <v>0</v>
      </c>
      <c r="C20" s="147" t="s">
        <v>207</v>
      </c>
      <c r="D20" s="140">
        <f t="shared" si="1"/>
        <v>0</v>
      </c>
      <c r="E20" s="124"/>
      <c r="F20" s="118">
        <v>6180</v>
      </c>
      <c r="G20" s="118"/>
      <c r="H20" s="118">
        <v>7000</v>
      </c>
      <c r="I20" s="118">
        <v>7840</v>
      </c>
      <c r="J20" s="118"/>
      <c r="K20" s="145"/>
      <c r="L20" s="148" t="s">
        <v>207</v>
      </c>
      <c r="M20" s="141">
        <f t="shared" si="2"/>
        <v>0</v>
      </c>
      <c r="N20" s="145"/>
      <c r="O20" s="148" t="s">
        <v>207</v>
      </c>
      <c r="P20" s="141">
        <f t="shared" si="3"/>
        <v>0</v>
      </c>
      <c r="Q20" s="145"/>
      <c r="R20" s="148" t="s">
        <v>207</v>
      </c>
      <c r="S20" s="141">
        <f t="shared" si="4"/>
        <v>0</v>
      </c>
      <c r="T20" s="145"/>
      <c r="U20" s="154" t="s">
        <v>207</v>
      </c>
      <c r="V20" s="155">
        <f t="shared" si="5"/>
        <v>0</v>
      </c>
    </row>
    <row r="21" spans="1:22" s="125" customFormat="1" ht="21.75" customHeight="1">
      <c r="A21" s="123"/>
      <c r="B21" s="143"/>
      <c r="C21" s="147"/>
      <c r="D21" s="140"/>
      <c r="E21" s="124"/>
      <c r="F21" s="118"/>
      <c r="G21" s="118"/>
      <c r="H21" s="118"/>
      <c r="I21" s="118"/>
      <c r="J21" s="118"/>
      <c r="K21" s="145"/>
      <c r="L21" s="148"/>
      <c r="M21" s="141"/>
      <c r="N21" s="145"/>
      <c r="O21" s="148"/>
      <c r="P21" s="141"/>
      <c r="Q21" s="145"/>
      <c r="R21" s="148"/>
      <c r="S21" s="141"/>
      <c r="T21" s="145"/>
      <c r="U21" s="154"/>
      <c r="V21" s="155"/>
    </row>
    <row r="22" spans="1:22" s="114" customFormat="1" ht="24.75" customHeight="1">
      <c r="A22" s="119" t="s">
        <v>75</v>
      </c>
      <c r="B22" s="162" t="e">
        <f aca="true" t="shared" si="6" ref="B22:B39">+J22+K22+N22+Q22+T22</f>
        <v>#REF!</v>
      </c>
      <c r="C22" s="147" t="s">
        <v>207</v>
      </c>
      <c r="D22" s="164" t="e">
        <f t="shared" si="1"/>
        <v>#REF!</v>
      </c>
      <c r="E22" s="120"/>
      <c r="F22" s="127">
        <v>-6992</v>
      </c>
      <c r="G22" s="127"/>
      <c r="H22" s="127">
        <v>-11435</v>
      </c>
      <c r="I22" s="127">
        <v>-10690</v>
      </c>
      <c r="J22" s="118" t="e">
        <f>+J7+J12+J15+J18</f>
        <v>#REF!</v>
      </c>
      <c r="K22" s="160" t="e">
        <f>+K7+K12+K15+K18</f>
        <v>#REF!</v>
      </c>
      <c r="L22" s="148" t="s">
        <v>207</v>
      </c>
      <c r="M22" s="166" t="e">
        <f t="shared" si="2"/>
        <v>#REF!</v>
      </c>
      <c r="N22" s="160" t="e">
        <f>+N7+N12+N15+N18</f>
        <v>#REF!</v>
      </c>
      <c r="O22" s="148" t="s">
        <v>207</v>
      </c>
      <c r="P22" s="166" t="e">
        <f t="shared" si="3"/>
        <v>#REF!</v>
      </c>
      <c r="Q22" s="160" t="e">
        <f>+Q7+Q12+Q15+Q18</f>
        <v>#REF!</v>
      </c>
      <c r="R22" s="148" t="s">
        <v>207</v>
      </c>
      <c r="S22" s="166" t="e">
        <f t="shared" si="4"/>
        <v>#REF!</v>
      </c>
      <c r="T22" s="160" t="e">
        <f>+T7+T12+T15+T18</f>
        <v>#REF!</v>
      </c>
      <c r="U22" s="154" t="s">
        <v>207</v>
      </c>
      <c r="V22" s="166" t="e">
        <f t="shared" si="5"/>
        <v>#REF!</v>
      </c>
    </row>
    <row r="23" spans="1:22" s="125" customFormat="1" ht="19.5" customHeight="1">
      <c r="A23" s="123"/>
      <c r="B23" s="143"/>
      <c r="C23" s="147"/>
      <c r="D23" s="164"/>
      <c r="E23" s="124"/>
      <c r="F23" s="118"/>
      <c r="G23" s="118"/>
      <c r="H23" s="118"/>
      <c r="I23" s="118"/>
      <c r="J23" s="118"/>
      <c r="K23" s="160"/>
      <c r="L23" s="148"/>
      <c r="M23" s="166"/>
      <c r="N23" s="160"/>
      <c r="O23" s="148"/>
      <c r="P23" s="166"/>
      <c r="Q23" s="160"/>
      <c r="R23" s="148"/>
      <c r="S23" s="166"/>
      <c r="T23" s="160"/>
      <c r="U23" s="154"/>
      <c r="V23" s="155"/>
    </row>
    <row r="24" spans="1:22" s="125" customFormat="1" ht="24.75" customHeight="1">
      <c r="A24" s="119" t="s">
        <v>76</v>
      </c>
      <c r="B24" s="162" t="e">
        <f t="shared" si="6"/>
        <v>#REF!</v>
      </c>
      <c r="C24" s="147" t="s">
        <v>207</v>
      </c>
      <c r="D24" s="164" t="e">
        <f t="shared" si="1"/>
        <v>#REF!</v>
      </c>
      <c r="E24" s="124"/>
      <c r="F24" s="118"/>
      <c r="G24" s="118"/>
      <c r="H24" s="118"/>
      <c r="I24" s="118"/>
      <c r="J24" s="118" t="e">
        <f>+J26+J27+J30+J35-3600</f>
        <v>#REF!</v>
      </c>
      <c r="K24" s="160" t="e">
        <f>+K26+K27+K30+K35-3600</f>
        <v>#REF!</v>
      </c>
      <c r="L24" s="148" t="s">
        <v>207</v>
      </c>
      <c r="M24" s="166" t="e">
        <f t="shared" si="2"/>
        <v>#REF!</v>
      </c>
      <c r="N24" s="160" t="e">
        <f>+N26+N27+N30+N35-3600</f>
        <v>#REF!</v>
      </c>
      <c r="O24" s="148" t="s">
        <v>207</v>
      </c>
      <c r="P24" s="166" t="e">
        <f t="shared" si="3"/>
        <v>#REF!</v>
      </c>
      <c r="Q24" s="160" t="e">
        <f>+Q26+Q27+Q30+Q35-3600</f>
        <v>#REF!</v>
      </c>
      <c r="R24" s="148" t="s">
        <v>207</v>
      </c>
      <c r="S24" s="166" t="e">
        <f t="shared" si="4"/>
        <v>#REF!</v>
      </c>
      <c r="T24" s="160" t="e">
        <f>+T26+T27+T30+T35-3600</f>
        <v>#REF!</v>
      </c>
      <c r="U24" s="154" t="s">
        <v>207</v>
      </c>
      <c r="V24" s="166" t="e">
        <f t="shared" si="5"/>
        <v>#REF!</v>
      </c>
    </row>
    <row r="25" spans="1:22" s="125" customFormat="1" ht="21.75" customHeight="1">
      <c r="A25" s="123"/>
      <c r="B25" s="143"/>
      <c r="C25" s="147"/>
      <c r="D25" s="140"/>
      <c r="E25" s="124"/>
      <c r="F25" s="118"/>
      <c r="G25" s="118"/>
      <c r="H25" s="118"/>
      <c r="I25" s="118"/>
      <c r="J25" s="118"/>
      <c r="K25" s="160"/>
      <c r="L25" s="148"/>
      <c r="M25" s="166"/>
      <c r="N25" s="160"/>
      <c r="O25" s="148"/>
      <c r="P25" s="166"/>
      <c r="Q25" s="160"/>
      <c r="R25" s="148"/>
      <c r="S25" s="166"/>
      <c r="T25" s="160"/>
      <c r="U25" s="154"/>
      <c r="V25" s="155"/>
    </row>
    <row r="26" spans="1:22" s="114" customFormat="1" ht="24.75" customHeight="1">
      <c r="A26" s="116" t="s">
        <v>77</v>
      </c>
      <c r="B26" s="162" t="e">
        <f t="shared" si="6"/>
        <v>#REF!</v>
      </c>
      <c r="C26" s="147" t="s">
        <v>207</v>
      </c>
      <c r="D26" s="164" t="e">
        <f t="shared" si="1"/>
        <v>#REF!</v>
      </c>
      <c r="E26" s="117"/>
      <c r="F26" s="127"/>
      <c r="G26" s="127"/>
      <c r="H26" s="127"/>
      <c r="I26" s="127"/>
      <c r="J26" s="118" t="e">
        <f>+#REF!*1000-900</f>
        <v>#REF!</v>
      </c>
      <c r="K26" s="160" t="e">
        <f>+#REF!*1000-1000</f>
        <v>#REF!</v>
      </c>
      <c r="L26" s="148" t="s">
        <v>207</v>
      </c>
      <c r="M26" s="166" t="e">
        <f t="shared" si="2"/>
        <v>#REF!</v>
      </c>
      <c r="N26" s="160" t="e">
        <f>+#REF!*1000-1000</f>
        <v>#REF!</v>
      </c>
      <c r="O26" s="148" t="s">
        <v>207</v>
      </c>
      <c r="P26" s="166" t="e">
        <f t="shared" si="3"/>
        <v>#REF!</v>
      </c>
      <c r="Q26" s="160" t="e">
        <f>+#REF!*1000-1100</f>
        <v>#REF!</v>
      </c>
      <c r="R26" s="148" t="s">
        <v>207</v>
      </c>
      <c r="S26" s="166" t="e">
        <f t="shared" si="4"/>
        <v>#REF!</v>
      </c>
      <c r="T26" s="160" t="e">
        <f>+#REF!*1000-1200</f>
        <v>#REF!</v>
      </c>
      <c r="U26" s="154" t="s">
        <v>207</v>
      </c>
      <c r="V26" s="166" t="e">
        <f t="shared" si="5"/>
        <v>#REF!</v>
      </c>
    </row>
    <row r="27" spans="1:22" s="114" customFormat="1" ht="24.75" customHeight="1">
      <c r="A27" s="116" t="s">
        <v>78</v>
      </c>
      <c r="B27" s="1838">
        <f t="shared" si="6"/>
        <v>13505</v>
      </c>
      <c r="C27" s="1839"/>
      <c r="D27" s="1840"/>
      <c r="E27" s="117"/>
      <c r="F27" s="127">
        <v>2045</v>
      </c>
      <c r="G27" s="127"/>
      <c r="H27" s="127">
        <v>964</v>
      </c>
      <c r="I27" s="127">
        <v>562</v>
      </c>
      <c r="J27" s="118">
        <v>2000</v>
      </c>
      <c r="K27" s="1835">
        <v>2730</v>
      </c>
      <c r="L27" s="1836"/>
      <c r="M27" s="1837"/>
      <c r="N27" s="1835">
        <v>2839</v>
      </c>
      <c r="O27" s="1836"/>
      <c r="P27" s="1837"/>
      <c r="Q27" s="1835">
        <v>2924</v>
      </c>
      <c r="R27" s="1836"/>
      <c r="S27" s="1837"/>
      <c r="T27" s="1835">
        <v>3012</v>
      </c>
      <c r="U27" s="1836"/>
      <c r="V27" s="1837"/>
    </row>
    <row r="28" spans="1:22" s="125" customFormat="1" ht="24.75" customHeight="1" hidden="1">
      <c r="A28" s="123" t="s">
        <v>79</v>
      </c>
      <c r="B28" s="143">
        <f t="shared" si="6"/>
        <v>0</v>
      </c>
      <c r="C28" s="147" t="s">
        <v>207</v>
      </c>
      <c r="D28" s="140">
        <f t="shared" si="1"/>
        <v>0</v>
      </c>
      <c r="E28" s="124"/>
      <c r="F28" s="118">
        <v>3397</v>
      </c>
      <c r="G28" s="118"/>
      <c r="H28" s="118">
        <v>2562</v>
      </c>
      <c r="I28" s="118">
        <v>2639</v>
      </c>
      <c r="J28" s="118"/>
      <c r="K28" s="145"/>
      <c r="L28" s="148" t="s">
        <v>207</v>
      </c>
      <c r="M28" s="141">
        <f t="shared" si="2"/>
        <v>0</v>
      </c>
      <c r="N28" s="145"/>
      <c r="O28" s="148" t="s">
        <v>207</v>
      </c>
      <c r="P28" s="141">
        <f t="shared" si="3"/>
        <v>0</v>
      </c>
      <c r="Q28" s="145"/>
      <c r="R28" s="148" t="s">
        <v>207</v>
      </c>
      <c r="S28" s="141">
        <f t="shared" si="4"/>
        <v>0</v>
      </c>
      <c r="T28" s="145"/>
      <c r="U28" s="154" t="s">
        <v>207</v>
      </c>
      <c r="V28" s="155">
        <f t="shared" si="5"/>
        <v>0</v>
      </c>
    </row>
    <row r="29" spans="1:22" s="125" customFormat="1" ht="24.75" customHeight="1" hidden="1">
      <c r="A29" s="123" t="s">
        <v>80</v>
      </c>
      <c r="B29" s="143">
        <f t="shared" si="6"/>
        <v>0</v>
      </c>
      <c r="C29" s="147" t="s">
        <v>207</v>
      </c>
      <c r="D29" s="140">
        <f t="shared" si="1"/>
        <v>0</v>
      </c>
      <c r="E29" s="124"/>
      <c r="F29" s="118">
        <v>1352</v>
      </c>
      <c r="G29" s="118"/>
      <c r="H29" s="118">
        <v>1598</v>
      </c>
      <c r="I29" s="118">
        <v>2077</v>
      </c>
      <c r="J29" s="118"/>
      <c r="K29" s="145"/>
      <c r="L29" s="148" t="s">
        <v>207</v>
      </c>
      <c r="M29" s="141">
        <f t="shared" si="2"/>
        <v>0</v>
      </c>
      <c r="N29" s="145"/>
      <c r="O29" s="148" t="s">
        <v>207</v>
      </c>
      <c r="P29" s="141">
        <f t="shared" si="3"/>
        <v>0</v>
      </c>
      <c r="Q29" s="145"/>
      <c r="R29" s="148" t="s">
        <v>207</v>
      </c>
      <c r="S29" s="141">
        <f t="shared" si="4"/>
        <v>0</v>
      </c>
      <c r="T29" s="145"/>
      <c r="U29" s="154" t="s">
        <v>207</v>
      </c>
      <c r="V29" s="155">
        <f t="shared" si="5"/>
        <v>0</v>
      </c>
    </row>
    <row r="30" spans="1:22" s="114" customFormat="1" ht="24.75" customHeight="1">
      <c r="A30" s="116" t="s">
        <v>81</v>
      </c>
      <c r="B30" s="1838">
        <f t="shared" si="6"/>
        <v>7900</v>
      </c>
      <c r="C30" s="1839"/>
      <c r="D30" s="1840"/>
      <c r="E30" s="117"/>
      <c r="F30" s="127">
        <v>79</v>
      </c>
      <c r="G30" s="127"/>
      <c r="H30" s="127">
        <v>168</v>
      </c>
      <c r="I30" s="127">
        <v>-575</v>
      </c>
      <c r="J30" s="118">
        <v>800</v>
      </c>
      <c r="K30" s="1835">
        <v>1700</v>
      </c>
      <c r="L30" s="1836"/>
      <c r="M30" s="1837"/>
      <c r="N30" s="1835">
        <v>1900</v>
      </c>
      <c r="O30" s="1836"/>
      <c r="P30" s="1837"/>
      <c r="Q30" s="1835">
        <v>1700</v>
      </c>
      <c r="R30" s="1836"/>
      <c r="S30" s="1837"/>
      <c r="T30" s="1835">
        <v>1800</v>
      </c>
      <c r="U30" s="1836"/>
      <c r="V30" s="1837"/>
    </row>
    <row r="31" spans="1:22" s="125" customFormat="1" ht="24.75" customHeight="1" hidden="1">
      <c r="A31" s="123" t="s">
        <v>79</v>
      </c>
      <c r="B31" s="143">
        <f t="shared" si="6"/>
        <v>0</v>
      </c>
      <c r="C31" s="147" t="s">
        <v>207</v>
      </c>
      <c r="D31" s="140">
        <f t="shared" si="1"/>
        <v>0</v>
      </c>
      <c r="E31" s="124"/>
      <c r="F31" s="118">
        <v>1404</v>
      </c>
      <c r="G31" s="118"/>
      <c r="H31" s="118">
        <v>3360</v>
      </c>
      <c r="I31" s="118">
        <v>3000</v>
      </c>
      <c r="J31" s="118"/>
      <c r="K31" s="145"/>
      <c r="L31" s="148" t="s">
        <v>207</v>
      </c>
      <c r="M31" s="141">
        <f t="shared" si="2"/>
        <v>0</v>
      </c>
      <c r="N31" s="145"/>
      <c r="O31" s="148" t="s">
        <v>207</v>
      </c>
      <c r="P31" s="141">
        <f t="shared" si="3"/>
        <v>0</v>
      </c>
      <c r="Q31" s="145"/>
      <c r="R31" s="148" t="s">
        <v>207</v>
      </c>
      <c r="S31" s="141">
        <f t="shared" si="4"/>
        <v>0</v>
      </c>
      <c r="T31" s="145"/>
      <c r="U31" s="154" t="s">
        <v>207</v>
      </c>
      <c r="V31" s="155">
        <f t="shared" si="5"/>
        <v>0</v>
      </c>
    </row>
    <row r="32" spans="1:22" s="125" customFormat="1" ht="24.75" customHeight="1" hidden="1">
      <c r="A32" s="123" t="s">
        <v>80</v>
      </c>
      <c r="B32" s="143">
        <f t="shared" si="6"/>
        <v>0</v>
      </c>
      <c r="C32" s="147" t="s">
        <v>207</v>
      </c>
      <c r="D32" s="140">
        <f t="shared" si="1"/>
        <v>0</v>
      </c>
      <c r="E32" s="124"/>
      <c r="F32" s="118">
        <v>1325</v>
      </c>
      <c r="G32" s="118"/>
      <c r="H32" s="118">
        <v>3192</v>
      </c>
      <c r="I32" s="118">
        <v>3575</v>
      </c>
      <c r="J32" s="118"/>
      <c r="K32" s="145"/>
      <c r="L32" s="148" t="s">
        <v>207</v>
      </c>
      <c r="M32" s="141">
        <f t="shared" si="2"/>
        <v>0</v>
      </c>
      <c r="N32" s="145"/>
      <c r="O32" s="148" t="s">
        <v>207</v>
      </c>
      <c r="P32" s="141">
        <f t="shared" si="3"/>
        <v>0</v>
      </c>
      <c r="Q32" s="145"/>
      <c r="R32" s="148" t="s">
        <v>207</v>
      </c>
      <c r="S32" s="141">
        <f t="shared" si="4"/>
        <v>0</v>
      </c>
      <c r="T32" s="145"/>
      <c r="U32" s="154" t="s">
        <v>207</v>
      </c>
      <c r="V32" s="155">
        <f t="shared" si="5"/>
        <v>0</v>
      </c>
    </row>
    <row r="33" spans="1:22" s="114" customFormat="1" ht="24.75" customHeight="1" hidden="1">
      <c r="A33" s="116" t="s">
        <v>82</v>
      </c>
      <c r="B33" s="143">
        <f t="shared" si="6"/>
        <v>0</v>
      </c>
      <c r="C33" s="147" t="s">
        <v>207</v>
      </c>
      <c r="D33" s="140">
        <f t="shared" si="1"/>
        <v>0</v>
      </c>
      <c r="E33" s="117"/>
      <c r="F33" s="127">
        <v>6243</v>
      </c>
      <c r="G33" s="127"/>
      <c r="H33" s="127">
        <v>1300</v>
      </c>
      <c r="I33" s="127">
        <v>2000</v>
      </c>
      <c r="J33" s="118"/>
      <c r="K33" s="145"/>
      <c r="L33" s="148" t="s">
        <v>207</v>
      </c>
      <c r="M33" s="141">
        <f t="shared" si="2"/>
        <v>0</v>
      </c>
      <c r="N33" s="145"/>
      <c r="O33" s="148" t="s">
        <v>207</v>
      </c>
      <c r="P33" s="141">
        <f t="shared" si="3"/>
        <v>0</v>
      </c>
      <c r="Q33" s="145"/>
      <c r="R33" s="148" t="s">
        <v>207</v>
      </c>
      <c r="S33" s="141">
        <f t="shared" si="4"/>
        <v>0</v>
      </c>
      <c r="T33" s="145"/>
      <c r="U33" s="154" t="s">
        <v>207</v>
      </c>
      <c r="V33" s="155">
        <f t="shared" si="5"/>
        <v>0</v>
      </c>
    </row>
    <row r="34" spans="1:22" s="114" customFormat="1" ht="24.75" customHeight="1" hidden="1">
      <c r="A34" s="116" t="s">
        <v>83</v>
      </c>
      <c r="B34" s="143">
        <f t="shared" si="6"/>
        <v>0</v>
      </c>
      <c r="C34" s="147" t="s">
        <v>207</v>
      </c>
      <c r="D34" s="140">
        <f t="shared" si="1"/>
        <v>0</v>
      </c>
      <c r="E34" s="117"/>
      <c r="F34" s="127">
        <v>2623</v>
      </c>
      <c r="G34" s="127"/>
      <c r="H34" s="127">
        <v>4800</v>
      </c>
      <c r="I34" s="127">
        <v>2500</v>
      </c>
      <c r="J34" s="118"/>
      <c r="K34" s="145"/>
      <c r="L34" s="148" t="s">
        <v>207</v>
      </c>
      <c r="M34" s="141">
        <f t="shared" si="2"/>
        <v>0</v>
      </c>
      <c r="N34" s="145"/>
      <c r="O34" s="148" t="s">
        <v>207</v>
      </c>
      <c r="P34" s="141">
        <f t="shared" si="3"/>
        <v>0</v>
      </c>
      <c r="Q34" s="145"/>
      <c r="R34" s="148" t="s">
        <v>207</v>
      </c>
      <c r="S34" s="141">
        <f t="shared" si="4"/>
        <v>0</v>
      </c>
      <c r="T34" s="145"/>
      <c r="U34" s="154" t="s">
        <v>207</v>
      </c>
      <c r="V34" s="155">
        <f t="shared" si="5"/>
        <v>0</v>
      </c>
    </row>
    <row r="35" spans="1:22" s="114" customFormat="1" ht="24.75" customHeight="1">
      <c r="A35" s="116" t="s">
        <v>120</v>
      </c>
      <c r="B35" s="1838">
        <f t="shared" si="6"/>
        <v>10400</v>
      </c>
      <c r="C35" s="1839"/>
      <c r="D35" s="1840"/>
      <c r="E35" s="117"/>
      <c r="F35" s="127"/>
      <c r="G35" s="127"/>
      <c r="H35" s="127"/>
      <c r="I35" s="127"/>
      <c r="J35" s="118">
        <v>1200</v>
      </c>
      <c r="K35" s="1835">
        <v>2000</v>
      </c>
      <c r="L35" s="1836"/>
      <c r="M35" s="1837"/>
      <c r="N35" s="1835">
        <v>2200</v>
      </c>
      <c r="O35" s="1836"/>
      <c r="P35" s="1837"/>
      <c r="Q35" s="1835">
        <v>2500</v>
      </c>
      <c r="R35" s="1836"/>
      <c r="S35" s="1837"/>
      <c r="T35" s="1835">
        <v>2500</v>
      </c>
      <c r="U35" s="1836"/>
      <c r="V35" s="1837"/>
    </row>
    <row r="36" spans="1:22" s="125" customFormat="1" ht="15.75" customHeight="1">
      <c r="A36" s="123"/>
      <c r="B36" s="143"/>
      <c r="C36" s="147"/>
      <c r="D36" s="140"/>
      <c r="E36" s="124"/>
      <c r="F36" s="118"/>
      <c r="G36" s="118"/>
      <c r="H36" s="118"/>
      <c r="I36" s="118"/>
      <c r="J36" s="118"/>
      <c r="K36" s="145"/>
      <c r="L36" s="148"/>
      <c r="M36" s="141"/>
      <c r="N36" s="145"/>
      <c r="O36" s="148"/>
      <c r="P36" s="141"/>
      <c r="Q36" s="145"/>
      <c r="R36" s="148"/>
      <c r="S36" s="141"/>
      <c r="T36" s="145"/>
      <c r="U36" s="154"/>
      <c r="V36" s="155"/>
    </row>
    <row r="37" spans="1:22" s="114" customFormat="1" ht="24.75" customHeight="1">
      <c r="A37" s="116" t="s">
        <v>84</v>
      </c>
      <c r="B37" s="1838">
        <f t="shared" si="6"/>
        <v>-12500</v>
      </c>
      <c r="C37" s="1839"/>
      <c r="D37" s="1840"/>
      <c r="E37" s="117"/>
      <c r="F37" s="127">
        <v>-380</v>
      </c>
      <c r="G37" s="127"/>
      <c r="H37" s="127">
        <v>-300</v>
      </c>
      <c r="I37" s="127">
        <v>-300</v>
      </c>
      <c r="J37" s="118">
        <v>-2500</v>
      </c>
      <c r="K37" s="1835">
        <v>-2500</v>
      </c>
      <c r="L37" s="1836"/>
      <c r="M37" s="1837"/>
      <c r="N37" s="1835">
        <v>-2500</v>
      </c>
      <c r="O37" s="1836"/>
      <c r="P37" s="1837"/>
      <c r="Q37" s="1835">
        <v>-2500</v>
      </c>
      <c r="R37" s="1836"/>
      <c r="S37" s="1837"/>
      <c r="T37" s="1835">
        <v>-2500</v>
      </c>
      <c r="U37" s="1836"/>
      <c r="V37" s="1837"/>
    </row>
    <row r="38" spans="1:22" s="125" customFormat="1" ht="15" customHeight="1">
      <c r="A38" s="123"/>
      <c r="B38" s="143"/>
      <c r="C38" s="147"/>
      <c r="D38" s="140"/>
      <c r="E38" s="124"/>
      <c r="F38" s="118"/>
      <c r="G38" s="118"/>
      <c r="H38" s="118"/>
      <c r="I38" s="118"/>
      <c r="J38" s="118"/>
      <c r="K38" s="145"/>
      <c r="L38" s="148"/>
      <c r="M38" s="141"/>
      <c r="N38" s="145"/>
      <c r="O38" s="148"/>
      <c r="P38" s="141"/>
      <c r="Q38" s="145"/>
      <c r="R38" s="148"/>
      <c r="S38" s="141"/>
      <c r="T38" s="145"/>
      <c r="U38" s="154"/>
      <c r="V38" s="155"/>
    </row>
    <row r="39" spans="1:22" s="114" customFormat="1" ht="24.75" customHeight="1">
      <c r="A39" s="134" t="s">
        <v>85</v>
      </c>
      <c r="B39" s="169" t="e">
        <f t="shared" si="6"/>
        <v>#REF!</v>
      </c>
      <c r="C39" s="156" t="s">
        <v>207</v>
      </c>
      <c r="D39" s="168" t="e">
        <f t="shared" si="1"/>
        <v>#REF!</v>
      </c>
      <c r="E39" s="136"/>
      <c r="F39" s="137"/>
      <c r="G39" s="137"/>
      <c r="H39" s="137"/>
      <c r="I39" s="137"/>
      <c r="J39" s="135" t="e">
        <f>+J22+J24+J37</f>
        <v>#REF!</v>
      </c>
      <c r="K39" s="170" t="e">
        <f>+K22+K24+K37</f>
        <v>#REF!</v>
      </c>
      <c r="L39" s="149" t="s">
        <v>207</v>
      </c>
      <c r="M39" s="167" t="e">
        <f t="shared" si="2"/>
        <v>#REF!</v>
      </c>
      <c r="N39" s="170" t="e">
        <f>+N22+N24+N37</f>
        <v>#REF!</v>
      </c>
      <c r="O39" s="149" t="s">
        <v>207</v>
      </c>
      <c r="P39" s="167" t="e">
        <f t="shared" si="3"/>
        <v>#REF!</v>
      </c>
      <c r="Q39" s="170" t="e">
        <f>+Q22+Q24+Q37</f>
        <v>#REF!</v>
      </c>
      <c r="R39" s="149" t="s">
        <v>207</v>
      </c>
      <c r="S39" s="167" t="e">
        <f t="shared" si="4"/>
        <v>#REF!</v>
      </c>
      <c r="T39" s="170" t="e">
        <f>+T22+T24+T37</f>
        <v>#REF!</v>
      </c>
      <c r="U39" s="157" t="s">
        <v>207</v>
      </c>
      <c r="V39" s="167" t="e">
        <f t="shared" si="5"/>
        <v>#REF!</v>
      </c>
    </row>
    <row r="40" spans="1:20" s="138" customFormat="1" ht="36" customHeight="1" hidden="1">
      <c r="A40" s="142" t="s">
        <v>205</v>
      </c>
      <c r="B40" s="142"/>
      <c r="C40" s="142"/>
      <c r="D40" s="142"/>
      <c r="E40" s="142"/>
      <c r="F40" s="142"/>
      <c r="G40" s="142"/>
      <c r="H40" s="142"/>
      <c r="I40" s="142"/>
      <c r="J40" s="151"/>
      <c r="K40" s="142"/>
      <c r="L40" s="152" t="s">
        <v>207</v>
      </c>
      <c r="M40" s="142"/>
      <c r="N40" s="142"/>
      <c r="O40" s="142"/>
      <c r="P40" s="142"/>
      <c r="Q40" s="142"/>
      <c r="R40" s="142"/>
      <c r="S40" s="142"/>
      <c r="T40" s="142"/>
    </row>
    <row r="41" spans="1:20" s="114" customFormat="1" ht="24.75" customHeight="1" hidden="1">
      <c r="A41" s="110" t="s">
        <v>64</v>
      </c>
      <c r="B41" s="111" t="e">
        <f>SUM(J41:T41)</f>
        <v>#REF!</v>
      </c>
      <c r="C41" s="111"/>
      <c r="D41" s="111"/>
      <c r="E41" s="112"/>
      <c r="F41" s="113">
        <f>F42-F43</f>
        <v>-10360</v>
      </c>
      <c r="G41" s="113"/>
      <c r="H41" s="113">
        <f>H42-H43</f>
        <v>-14960</v>
      </c>
      <c r="I41" s="113">
        <f>I42-I43</f>
        <v>-14800</v>
      </c>
      <c r="J41" s="113" t="e">
        <f>+J42-J43</f>
        <v>#REF!</v>
      </c>
      <c r="K41" s="113" t="e">
        <f>+K42-K43</f>
        <v>#REF!</v>
      </c>
      <c r="L41" s="150" t="s">
        <v>207</v>
      </c>
      <c r="M41" s="113"/>
      <c r="N41" s="113" t="e">
        <f>+N42-N43</f>
        <v>#REF!</v>
      </c>
      <c r="O41" s="113"/>
      <c r="P41" s="113"/>
      <c r="Q41" s="113" t="e">
        <f>+Q42-Q43</f>
        <v>#REF!</v>
      </c>
      <c r="R41" s="113"/>
      <c r="S41" s="113"/>
      <c r="T41" s="113" t="e">
        <f>+T42-T43</f>
        <v>#REF!</v>
      </c>
    </row>
    <row r="42" spans="1:20" s="125" customFormat="1" ht="24.75" customHeight="1" hidden="1">
      <c r="A42" s="123" t="s">
        <v>65</v>
      </c>
      <c r="B42" s="115" t="e">
        <f>SUM(J42:T42)</f>
        <v>#REF!</v>
      </c>
      <c r="C42" s="115"/>
      <c r="D42" s="115"/>
      <c r="E42" s="124"/>
      <c r="F42" s="118">
        <v>48561</v>
      </c>
      <c r="G42" s="118"/>
      <c r="H42" s="118">
        <v>64000</v>
      </c>
      <c r="I42" s="118">
        <v>76700</v>
      </c>
      <c r="J42" s="118" t="e">
        <f>+#REF!*1000</f>
        <v>#REF!</v>
      </c>
      <c r="K42" s="118" t="e">
        <f>+#REF!*1000</f>
        <v>#REF!</v>
      </c>
      <c r="L42" s="150" t="s">
        <v>207</v>
      </c>
      <c r="M42" s="118"/>
      <c r="N42" s="118" t="e">
        <f>+#REF!*1000</f>
        <v>#REF!</v>
      </c>
      <c r="O42" s="118"/>
      <c r="P42" s="118"/>
      <c r="Q42" s="118" t="e">
        <f>+#REF!*1000</f>
        <v>#REF!</v>
      </c>
      <c r="R42" s="118"/>
      <c r="S42" s="118"/>
      <c r="T42" s="118" t="e">
        <f>+#REF!*1000</f>
        <v>#REF!</v>
      </c>
    </row>
    <row r="43" spans="1:20" s="125" customFormat="1" ht="24.75" customHeight="1" hidden="1">
      <c r="A43" s="123" t="s">
        <v>66</v>
      </c>
      <c r="B43" s="115" t="e">
        <f>SUM(J43:T43)</f>
        <v>#REF!</v>
      </c>
      <c r="C43" s="115"/>
      <c r="D43" s="115"/>
      <c r="E43" s="124"/>
      <c r="F43" s="118">
        <v>58921</v>
      </c>
      <c r="G43" s="126"/>
      <c r="H43" s="126">
        <v>78960</v>
      </c>
      <c r="I43" s="126">
        <v>91500</v>
      </c>
      <c r="J43" s="118" t="e">
        <f>0.9*J44</f>
        <v>#REF!</v>
      </c>
      <c r="K43" s="118" t="e">
        <f>0.9*K44</f>
        <v>#REF!</v>
      </c>
      <c r="L43" s="150" t="s">
        <v>207</v>
      </c>
      <c r="M43" s="118"/>
      <c r="N43" s="118" t="e">
        <f>0.9*N44</f>
        <v>#REF!</v>
      </c>
      <c r="O43" s="118"/>
      <c r="P43" s="118"/>
      <c r="Q43" s="118" t="e">
        <f>0.9*Q44</f>
        <v>#REF!</v>
      </c>
      <c r="R43" s="118"/>
      <c r="S43" s="118"/>
      <c r="T43" s="118" t="e">
        <f>0.9*T44</f>
        <v>#REF!</v>
      </c>
    </row>
    <row r="44" spans="1:20" s="125" customFormat="1" ht="24.75" customHeight="1" hidden="1">
      <c r="A44" s="123" t="s">
        <v>67</v>
      </c>
      <c r="B44" s="115" t="e">
        <f>SUM(J44:T44)</f>
        <v>#REF!</v>
      </c>
      <c r="C44" s="115"/>
      <c r="D44" s="115"/>
      <c r="E44" s="124"/>
      <c r="F44" s="118">
        <v>62682</v>
      </c>
      <c r="G44" s="126"/>
      <c r="H44" s="126">
        <v>84000</v>
      </c>
      <c r="I44" s="126">
        <v>97400</v>
      </c>
      <c r="J44" s="118" t="e">
        <f>+#REF!*1000</f>
        <v>#REF!</v>
      </c>
      <c r="K44" s="118" t="e">
        <f>+#REF!*1000</f>
        <v>#REF!</v>
      </c>
      <c r="L44" s="150" t="s">
        <v>207</v>
      </c>
      <c r="M44" s="118"/>
      <c r="N44" s="118" t="e">
        <f>+#REF!*1000</f>
        <v>#REF!</v>
      </c>
      <c r="O44" s="118"/>
      <c r="P44" s="118"/>
      <c r="Q44" s="118" t="e">
        <f>+#REF!*1000</f>
        <v>#REF!</v>
      </c>
      <c r="R44" s="118"/>
      <c r="S44" s="118"/>
      <c r="T44" s="118" t="e">
        <f>+#REF!*1000</f>
        <v>#REF!</v>
      </c>
    </row>
    <row r="45" spans="1:20" s="125" customFormat="1" ht="15" customHeight="1" hidden="1">
      <c r="A45" s="123"/>
      <c r="B45" s="124"/>
      <c r="C45" s="124"/>
      <c r="D45" s="124"/>
      <c r="E45" s="124"/>
      <c r="F45" s="118"/>
      <c r="G45" s="118"/>
      <c r="H45" s="118"/>
      <c r="I45" s="118"/>
      <c r="J45" s="118"/>
      <c r="K45" s="118"/>
      <c r="L45" s="150" t="s">
        <v>207</v>
      </c>
      <c r="M45" s="118"/>
      <c r="N45" s="118"/>
      <c r="O45" s="118"/>
      <c r="P45" s="118"/>
      <c r="Q45" s="118"/>
      <c r="R45" s="118"/>
      <c r="S45" s="118"/>
      <c r="T45" s="118"/>
    </row>
    <row r="46" spans="1:20" s="114" customFormat="1" ht="35.25" customHeight="1" hidden="1">
      <c r="A46" s="116" t="s">
        <v>68</v>
      </c>
      <c r="B46" s="115">
        <f>+SUM(J46:T46)</f>
        <v>-11500</v>
      </c>
      <c r="C46" s="115"/>
      <c r="D46" s="115"/>
      <c r="E46" s="117"/>
      <c r="F46" s="127">
        <f>F47-F48</f>
        <v>-894</v>
      </c>
      <c r="G46" s="127"/>
      <c r="H46" s="127">
        <v>-1300</v>
      </c>
      <c r="I46" s="127">
        <v>-1391</v>
      </c>
      <c r="J46" s="118">
        <v>-3000</v>
      </c>
      <c r="K46" s="118">
        <v>-1500</v>
      </c>
      <c r="L46" s="150" t="s">
        <v>207</v>
      </c>
      <c r="M46" s="118"/>
      <c r="N46" s="118">
        <v>-2000</v>
      </c>
      <c r="O46" s="118"/>
      <c r="P46" s="118"/>
      <c r="Q46" s="118">
        <v>-2500</v>
      </c>
      <c r="R46" s="118"/>
      <c r="S46" s="118"/>
      <c r="T46" s="118">
        <v>-2500</v>
      </c>
    </row>
    <row r="47" spans="1:20" s="125" customFormat="1" ht="24.75" customHeight="1" hidden="1">
      <c r="A47" s="123" t="s">
        <v>69</v>
      </c>
      <c r="B47" s="115">
        <f aca="true" t="shared" si="7" ref="B47:B73">+SUM(J47:T47)</f>
        <v>0</v>
      </c>
      <c r="C47" s="115"/>
      <c r="D47" s="115"/>
      <c r="E47" s="124"/>
      <c r="F47" s="118">
        <v>6030</v>
      </c>
      <c r="G47" s="118"/>
      <c r="H47" s="118">
        <v>7055</v>
      </c>
      <c r="I47" s="118">
        <v>7549</v>
      </c>
      <c r="J47" s="118"/>
      <c r="K47" s="118"/>
      <c r="L47" s="150" t="s">
        <v>207</v>
      </c>
      <c r="M47" s="118"/>
      <c r="N47" s="118"/>
      <c r="O47" s="118"/>
      <c r="P47" s="118"/>
      <c r="Q47" s="118"/>
      <c r="R47" s="118"/>
      <c r="S47" s="118"/>
      <c r="T47" s="118"/>
    </row>
    <row r="48" spans="1:20" s="125" customFormat="1" ht="24.75" customHeight="1" hidden="1">
      <c r="A48" s="123" t="s">
        <v>70</v>
      </c>
      <c r="B48" s="115">
        <f t="shared" si="7"/>
        <v>0</v>
      </c>
      <c r="C48" s="115"/>
      <c r="D48" s="115"/>
      <c r="E48" s="124"/>
      <c r="F48" s="118">
        <v>6924</v>
      </c>
      <c r="G48" s="118"/>
      <c r="H48" s="118">
        <v>8355</v>
      </c>
      <c r="I48" s="118">
        <v>8940</v>
      </c>
      <c r="J48" s="118"/>
      <c r="K48" s="118"/>
      <c r="L48" s="150" t="s">
        <v>207</v>
      </c>
      <c r="M48" s="118"/>
      <c r="N48" s="118"/>
      <c r="O48" s="118"/>
      <c r="P48" s="118"/>
      <c r="Q48" s="118"/>
      <c r="R48" s="118"/>
      <c r="S48" s="118"/>
      <c r="T48" s="118"/>
    </row>
    <row r="49" spans="1:20" s="114" customFormat="1" ht="33.75" customHeight="1" hidden="1">
      <c r="A49" s="116" t="s">
        <v>71</v>
      </c>
      <c r="B49" s="115">
        <f t="shared" si="7"/>
        <v>-34086</v>
      </c>
      <c r="C49" s="115"/>
      <c r="D49" s="115"/>
      <c r="E49" s="117"/>
      <c r="F49" s="127">
        <f>F50-F51</f>
        <v>-2168</v>
      </c>
      <c r="G49" s="127"/>
      <c r="H49" s="127">
        <f>H50-H51</f>
        <v>-2432</v>
      </c>
      <c r="I49" s="127">
        <f>I50-I51</f>
        <v>-2602</v>
      </c>
      <c r="J49" s="118">
        <v>-5124</v>
      </c>
      <c r="K49" s="118">
        <v>-6950</v>
      </c>
      <c r="L49" s="150" t="s">
        <v>207</v>
      </c>
      <c r="M49" s="118"/>
      <c r="N49" s="118">
        <v>-6452</v>
      </c>
      <c r="O49" s="118"/>
      <c r="P49" s="118"/>
      <c r="Q49" s="118">
        <v>-7109</v>
      </c>
      <c r="R49" s="118"/>
      <c r="S49" s="118"/>
      <c r="T49" s="118">
        <v>-8451</v>
      </c>
    </row>
    <row r="50" spans="1:20" s="125" customFormat="1" ht="24.75" customHeight="1" hidden="1">
      <c r="A50" s="123" t="s">
        <v>69</v>
      </c>
      <c r="B50" s="115">
        <f t="shared" si="7"/>
        <v>0</v>
      </c>
      <c r="C50" s="115"/>
      <c r="D50" s="115"/>
      <c r="E50" s="124"/>
      <c r="F50" s="118">
        <v>1093</v>
      </c>
      <c r="G50" s="118"/>
      <c r="H50" s="118">
        <v>1268</v>
      </c>
      <c r="I50" s="118">
        <v>1357</v>
      </c>
      <c r="J50" s="118"/>
      <c r="K50" s="118"/>
      <c r="L50" s="150" t="s">
        <v>207</v>
      </c>
      <c r="M50" s="118"/>
      <c r="N50" s="118"/>
      <c r="O50" s="118"/>
      <c r="P50" s="118"/>
      <c r="Q50" s="118"/>
      <c r="R50" s="118"/>
      <c r="S50" s="118"/>
      <c r="T50" s="118"/>
    </row>
    <row r="51" spans="1:20" s="125" customFormat="1" ht="24.75" customHeight="1" hidden="1">
      <c r="A51" s="123" t="s">
        <v>70</v>
      </c>
      <c r="B51" s="115">
        <f t="shared" si="7"/>
        <v>0</v>
      </c>
      <c r="C51" s="115"/>
      <c r="D51" s="115"/>
      <c r="E51" s="124"/>
      <c r="F51" s="118">
        <v>3261</v>
      </c>
      <c r="G51" s="118"/>
      <c r="H51" s="118">
        <v>3700</v>
      </c>
      <c r="I51" s="118">
        <v>3959</v>
      </c>
      <c r="J51" s="118"/>
      <c r="K51" s="118"/>
      <c r="L51" s="150" t="s">
        <v>207</v>
      </c>
      <c r="M51" s="118"/>
      <c r="N51" s="118"/>
      <c r="O51" s="118"/>
      <c r="P51" s="118"/>
      <c r="Q51" s="118"/>
      <c r="R51" s="118"/>
      <c r="S51" s="118"/>
      <c r="T51" s="118"/>
    </row>
    <row r="52" spans="1:20" s="114" customFormat="1" ht="32.25" customHeight="1" hidden="1">
      <c r="A52" s="116" t="s">
        <v>72</v>
      </c>
      <c r="B52" s="115">
        <f t="shared" si="7"/>
        <v>32038</v>
      </c>
      <c r="C52" s="115"/>
      <c r="D52" s="115"/>
      <c r="E52" s="117"/>
      <c r="F52" s="127">
        <v>6430</v>
      </c>
      <c r="G52" s="127"/>
      <c r="H52" s="127">
        <v>7257</v>
      </c>
      <c r="I52" s="127">
        <v>8100</v>
      </c>
      <c r="J52" s="118">
        <v>6500</v>
      </c>
      <c r="K52" s="118">
        <v>5700</v>
      </c>
      <c r="L52" s="150" t="s">
        <v>207</v>
      </c>
      <c r="M52" s="118"/>
      <c r="N52" s="118">
        <v>6270</v>
      </c>
      <c r="O52" s="118"/>
      <c r="P52" s="118"/>
      <c r="Q52" s="118">
        <v>6717</v>
      </c>
      <c r="R52" s="118"/>
      <c r="S52" s="118"/>
      <c r="T52" s="118">
        <v>6851</v>
      </c>
    </row>
    <row r="53" spans="1:20" s="125" customFormat="1" ht="24.75" customHeight="1" hidden="1">
      <c r="A53" s="123" t="s">
        <v>73</v>
      </c>
      <c r="B53" s="115">
        <f t="shared" si="7"/>
        <v>0</v>
      </c>
      <c r="C53" s="115"/>
      <c r="D53" s="115"/>
      <c r="E53" s="124"/>
      <c r="F53" s="118">
        <v>250</v>
      </c>
      <c r="G53" s="118"/>
      <c r="H53" s="118">
        <v>257</v>
      </c>
      <c r="I53" s="118">
        <v>260</v>
      </c>
      <c r="J53" s="118"/>
      <c r="K53" s="118"/>
      <c r="L53" s="150" t="s">
        <v>207</v>
      </c>
      <c r="M53" s="118"/>
      <c r="N53" s="118"/>
      <c r="O53" s="118"/>
      <c r="P53" s="118"/>
      <c r="Q53" s="118"/>
      <c r="R53" s="118"/>
      <c r="S53" s="118"/>
      <c r="T53" s="118"/>
    </row>
    <row r="54" spans="1:20" s="125" customFormat="1" ht="24.75" customHeight="1" hidden="1">
      <c r="A54" s="123" t="s">
        <v>74</v>
      </c>
      <c r="B54" s="115">
        <f t="shared" si="7"/>
        <v>0</v>
      </c>
      <c r="C54" s="115"/>
      <c r="D54" s="115"/>
      <c r="E54" s="124"/>
      <c r="F54" s="118">
        <v>6180</v>
      </c>
      <c r="G54" s="118"/>
      <c r="H54" s="118">
        <v>7000</v>
      </c>
      <c r="I54" s="118">
        <v>7840</v>
      </c>
      <c r="J54" s="118"/>
      <c r="K54" s="118"/>
      <c r="L54" s="150" t="s">
        <v>207</v>
      </c>
      <c r="M54" s="118"/>
      <c r="N54" s="118"/>
      <c r="O54" s="118"/>
      <c r="P54" s="118"/>
      <c r="Q54" s="118"/>
      <c r="R54" s="118"/>
      <c r="S54" s="118"/>
      <c r="T54" s="118"/>
    </row>
    <row r="55" spans="1:20" s="125" customFormat="1" ht="12" customHeight="1" hidden="1">
      <c r="A55" s="123"/>
      <c r="B55" s="115"/>
      <c r="C55" s="115"/>
      <c r="D55" s="115"/>
      <c r="E55" s="124"/>
      <c r="F55" s="118"/>
      <c r="G55" s="118"/>
      <c r="H55" s="118"/>
      <c r="I55" s="118"/>
      <c r="J55" s="118"/>
      <c r="K55" s="118"/>
      <c r="L55" s="150" t="s">
        <v>207</v>
      </c>
      <c r="M55" s="118"/>
      <c r="N55" s="118"/>
      <c r="O55" s="118"/>
      <c r="P55" s="118"/>
      <c r="Q55" s="118"/>
      <c r="R55" s="118"/>
      <c r="S55" s="118"/>
      <c r="T55" s="118"/>
    </row>
    <row r="56" spans="1:20" s="114" customFormat="1" ht="24.75" customHeight="1" hidden="1">
      <c r="A56" s="119" t="s">
        <v>75</v>
      </c>
      <c r="B56" s="115" t="e">
        <f t="shared" si="7"/>
        <v>#REF!</v>
      </c>
      <c r="C56" s="115"/>
      <c r="D56" s="115"/>
      <c r="E56" s="120"/>
      <c r="F56" s="127">
        <v>-6992</v>
      </c>
      <c r="G56" s="127"/>
      <c r="H56" s="127">
        <v>-11435</v>
      </c>
      <c r="I56" s="127">
        <v>-10690</v>
      </c>
      <c r="J56" s="118" t="e">
        <f>+J41+J46+J49+J52</f>
        <v>#REF!</v>
      </c>
      <c r="K56" s="118" t="e">
        <f>+K41+K46+K49+K52</f>
        <v>#REF!</v>
      </c>
      <c r="L56" s="150" t="s">
        <v>207</v>
      </c>
      <c r="M56" s="118"/>
      <c r="N56" s="118" t="e">
        <f>+N41+N46+N49+N52</f>
        <v>#REF!</v>
      </c>
      <c r="O56" s="118"/>
      <c r="P56" s="118"/>
      <c r="Q56" s="118" t="e">
        <f>+Q41+Q46+Q49+Q52</f>
        <v>#REF!</v>
      </c>
      <c r="R56" s="118"/>
      <c r="S56" s="118"/>
      <c r="T56" s="118" t="e">
        <f>+T41+T46+T49+T52</f>
        <v>#REF!</v>
      </c>
    </row>
    <row r="57" spans="1:20" s="125" customFormat="1" ht="12.75" customHeight="1" hidden="1">
      <c r="A57" s="123"/>
      <c r="B57" s="115"/>
      <c r="C57" s="115"/>
      <c r="D57" s="115"/>
      <c r="E57" s="124"/>
      <c r="F57" s="118"/>
      <c r="G57" s="118"/>
      <c r="H57" s="118"/>
      <c r="I57" s="118"/>
      <c r="J57" s="118"/>
      <c r="K57" s="118"/>
      <c r="L57" s="150" t="s">
        <v>207</v>
      </c>
      <c r="M57" s="118"/>
      <c r="N57" s="118"/>
      <c r="O57" s="118"/>
      <c r="P57" s="118"/>
      <c r="Q57" s="118"/>
      <c r="R57" s="118"/>
      <c r="S57" s="118"/>
      <c r="T57" s="118"/>
    </row>
    <row r="58" spans="1:20" s="125" customFormat="1" ht="24.75" customHeight="1" hidden="1">
      <c r="A58" s="119" t="s">
        <v>76</v>
      </c>
      <c r="B58" s="115" t="e">
        <f t="shared" si="7"/>
        <v>#REF!</v>
      </c>
      <c r="C58" s="115"/>
      <c r="D58" s="115"/>
      <c r="E58" s="124"/>
      <c r="F58" s="118"/>
      <c r="G58" s="118"/>
      <c r="H58" s="118"/>
      <c r="I58" s="118"/>
      <c r="J58" s="118" t="e">
        <f>+J60+J61+J64+J69-3600</f>
        <v>#REF!</v>
      </c>
      <c r="K58" s="118" t="e">
        <f>+K60+K61+K64+K69-3600</f>
        <v>#REF!</v>
      </c>
      <c r="L58" s="150" t="s">
        <v>207</v>
      </c>
      <c r="M58" s="118"/>
      <c r="N58" s="118" t="e">
        <f>+N60+N61+N64+N69-3600</f>
        <v>#REF!</v>
      </c>
      <c r="O58" s="118"/>
      <c r="P58" s="118"/>
      <c r="Q58" s="118" t="e">
        <f>+Q60+Q61+Q64+Q69-3600</f>
        <v>#REF!</v>
      </c>
      <c r="R58" s="118"/>
      <c r="S58" s="118"/>
      <c r="T58" s="118" t="e">
        <f>+T60+T61+T64+T69-3600</f>
        <v>#REF!</v>
      </c>
    </row>
    <row r="59" spans="1:20" s="125" customFormat="1" ht="15.75" customHeight="1" hidden="1">
      <c r="A59" s="123"/>
      <c r="B59" s="115"/>
      <c r="C59" s="115"/>
      <c r="D59" s="115"/>
      <c r="E59" s="124"/>
      <c r="F59" s="118"/>
      <c r="G59" s="118"/>
      <c r="H59" s="118"/>
      <c r="I59" s="118"/>
      <c r="J59" s="118"/>
      <c r="K59" s="118"/>
      <c r="L59" s="150" t="s">
        <v>207</v>
      </c>
      <c r="M59" s="118"/>
      <c r="N59" s="118"/>
      <c r="O59" s="118"/>
      <c r="P59" s="118"/>
      <c r="Q59" s="118"/>
      <c r="R59" s="118"/>
      <c r="S59" s="118"/>
      <c r="T59" s="118"/>
    </row>
    <row r="60" spans="1:20" s="114" customFormat="1" ht="24.75" customHeight="1" hidden="1">
      <c r="A60" s="116" t="s">
        <v>77</v>
      </c>
      <c r="B60" s="118" t="e">
        <f t="shared" si="7"/>
        <v>#REF!</v>
      </c>
      <c r="C60" s="118"/>
      <c r="D60" s="118"/>
      <c r="E60" s="117"/>
      <c r="F60" s="127"/>
      <c r="G60" s="127"/>
      <c r="H60" s="127"/>
      <c r="I60" s="127"/>
      <c r="J60" s="118" t="e">
        <f>+#REF!*1000-900</f>
        <v>#REF!</v>
      </c>
      <c r="K60" s="118" t="e">
        <f>+#REF!*1000-100</f>
        <v>#REF!</v>
      </c>
      <c r="L60" s="150" t="s">
        <v>207</v>
      </c>
      <c r="M60" s="118"/>
      <c r="N60" s="118" t="e">
        <f>+#REF!*1000-1000</f>
        <v>#REF!</v>
      </c>
      <c r="O60" s="118"/>
      <c r="P60" s="118"/>
      <c r="Q60" s="118" t="e">
        <f>+#REF!*1000-1100</f>
        <v>#REF!</v>
      </c>
      <c r="R60" s="118"/>
      <c r="S60" s="118"/>
      <c r="T60" s="118" t="e">
        <f>+#REF!*1000-1200</f>
        <v>#REF!</v>
      </c>
    </row>
    <row r="61" spans="1:20" s="114" customFormat="1" ht="24.75" customHeight="1" hidden="1">
      <c r="A61" s="116" t="s">
        <v>78</v>
      </c>
      <c r="B61" s="115">
        <f t="shared" si="7"/>
        <v>13505</v>
      </c>
      <c r="C61" s="115"/>
      <c r="D61" s="115"/>
      <c r="E61" s="117"/>
      <c r="F61" s="127">
        <v>2045</v>
      </c>
      <c r="G61" s="127"/>
      <c r="H61" s="127">
        <v>964</v>
      </c>
      <c r="I61" s="127">
        <v>562</v>
      </c>
      <c r="J61" s="118">
        <v>2000</v>
      </c>
      <c r="K61" s="118">
        <v>2730</v>
      </c>
      <c r="L61" s="150" t="s">
        <v>207</v>
      </c>
      <c r="M61" s="118"/>
      <c r="N61" s="118">
        <v>2839</v>
      </c>
      <c r="O61" s="118"/>
      <c r="P61" s="118"/>
      <c r="Q61" s="118">
        <v>2924</v>
      </c>
      <c r="R61" s="118"/>
      <c r="S61" s="118"/>
      <c r="T61" s="118">
        <v>3012</v>
      </c>
    </row>
    <row r="62" spans="1:20" s="125" customFormat="1" ht="24.75" customHeight="1" hidden="1">
      <c r="A62" s="123" t="s">
        <v>79</v>
      </c>
      <c r="B62" s="115">
        <f t="shared" si="7"/>
        <v>0</v>
      </c>
      <c r="C62" s="115"/>
      <c r="D62" s="115"/>
      <c r="E62" s="124"/>
      <c r="F62" s="118">
        <v>3397</v>
      </c>
      <c r="G62" s="118"/>
      <c r="H62" s="118">
        <v>2562</v>
      </c>
      <c r="I62" s="118">
        <v>2639</v>
      </c>
      <c r="J62" s="118"/>
      <c r="K62" s="118"/>
      <c r="L62" s="150" t="s">
        <v>207</v>
      </c>
      <c r="M62" s="118"/>
      <c r="N62" s="118"/>
      <c r="O62" s="118"/>
      <c r="P62" s="118"/>
      <c r="Q62" s="118"/>
      <c r="R62" s="118"/>
      <c r="S62" s="118"/>
      <c r="T62" s="118"/>
    </row>
    <row r="63" spans="1:20" s="125" customFormat="1" ht="24.75" customHeight="1" hidden="1">
      <c r="A63" s="123" t="s">
        <v>80</v>
      </c>
      <c r="B63" s="115">
        <f t="shared" si="7"/>
        <v>0</v>
      </c>
      <c r="C63" s="115"/>
      <c r="D63" s="115"/>
      <c r="E63" s="124"/>
      <c r="F63" s="118">
        <v>1352</v>
      </c>
      <c r="G63" s="118"/>
      <c r="H63" s="118">
        <v>1598</v>
      </c>
      <c r="I63" s="118">
        <v>2077</v>
      </c>
      <c r="J63" s="118"/>
      <c r="K63" s="118"/>
      <c r="L63" s="150" t="s">
        <v>207</v>
      </c>
      <c r="M63" s="118"/>
      <c r="N63" s="118"/>
      <c r="O63" s="118"/>
      <c r="P63" s="118"/>
      <c r="Q63" s="118"/>
      <c r="R63" s="118"/>
      <c r="S63" s="118"/>
      <c r="T63" s="118"/>
    </row>
    <row r="64" spans="1:20" s="114" customFormat="1" ht="24.75" customHeight="1" hidden="1">
      <c r="A64" s="116" t="s">
        <v>81</v>
      </c>
      <c r="B64" s="115">
        <f t="shared" si="7"/>
        <v>7900</v>
      </c>
      <c r="C64" s="115"/>
      <c r="D64" s="115"/>
      <c r="E64" s="117"/>
      <c r="F64" s="127">
        <v>79</v>
      </c>
      <c r="G64" s="127"/>
      <c r="H64" s="127">
        <v>168</v>
      </c>
      <c r="I64" s="127">
        <v>-575</v>
      </c>
      <c r="J64" s="118">
        <v>800</v>
      </c>
      <c r="K64" s="118">
        <v>1700</v>
      </c>
      <c r="L64" s="150" t="s">
        <v>207</v>
      </c>
      <c r="M64" s="118"/>
      <c r="N64" s="118">
        <v>1900</v>
      </c>
      <c r="O64" s="118"/>
      <c r="P64" s="118"/>
      <c r="Q64" s="118">
        <v>1700</v>
      </c>
      <c r="R64" s="118"/>
      <c r="S64" s="118"/>
      <c r="T64" s="118">
        <v>1800</v>
      </c>
    </row>
    <row r="65" spans="1:20" s="125" customFormat="1" ht="24.75" customHeight="1" hidden="1">
      <c r="A65" s="123" t="s">
        <v>79</v>
      </c>
      <c r="B65" s="115">
        <f t="shared" si="7"/>
        <v>0</v>
      </c>
      <c r="C65" s="115"/>
      <c r="D65" s="115"/>
      <c r="E65" s="124"/>
      <c r="F65" s="118">
        <v>1404</v>
      </c>
      <c r="G65" s="118"/>
      <c r="H65" s="118">
        <v>3360</v>
      </c>
      <c r="I65" s="118">
        <v>3000</v>
      </c>
      <c r="J65" s="118"/>
      <c r="K65" s="118"/>
      <c r="L65" s="150" t="s">
        <v>207</v>
      </c>
      <c r="M65" s="118"/>
      <c r="N65" s="118"/>
      <c r="O65" s="118"/>
      <c r="P65" s="118"/>
      <c r="Q65" s="118"/>
      <c r="R65" s="118"/>
      <c r="S65" s="118"/>
      <c r="T65" s="118"/>
    </row>
    <row r="66" spans="1:20" s="125" customFormat="1" ht="24.75" customHeight="1" hidden="1">
      <c r="A66" s="123" t="s">
        <v>80</v>
      </c>
      <c r="B66" s="115">
        <f t="shared" si="7"/>
        <v>0</v>
      </c>
      <c r="C66" s="115"/>
      <c r="D66" s="115"/>
      <c r="E66" s="124"/>
      <c r="F66" s="118">
        <v>1325</v>
      </c>
      <c r="G66" s="118"/>
      <c r="H66" s="118">
        <v>3192</v>
      </c>
      <c r="I66" s="118">
        <v>3575</v>
      </c>
      <c r="J66" s="118"/>
      <c r="K66" s="118"/>
      <c r="L66" s="150" t="s">
        <v>207</v>
      </c>
      <c r="M66" s="118"/>
      <c r="N66" s="118"/>
      <c r="O66" s="118"/>
      <c r="P66" s="118"/>
      <c r="Q66" s="118"/>
      <c r="R66" s="118"/>
      <c r="S66" s="118"/>
      <c r="T66" s="118"/>
    </row>
    <row r="67" spans="1:20" s="114" customFormat="1" ht="24.75" customHeight="1" hidden="1">
      <c r="A67" s="116" t="s">
        <v>82</v>
      </c>
      <c r="B67" s="115">
        <f t="shared" si="7"/>
        <v>0</v>
      </c>
      <c r="C67" s="115"/>
      <c r="D67" s="115"/>
      <c r="E67" s="117"/>
      <c r="F67" s="127">
        <v>6243</v>
      </c>
      <c r="G67" s="127"/>
      <c r="H67" s="127">
        <v>1300</v>
      </c>
      <c r="I67" s="127">
        <v>2000</v>
      </c>
      <c r="J67" s="118"/>
      <c r="K67" s="118"/>
      <c r="L67" s="150" t="s">
        <v>207</v>
      </c>
      <c r="M67" s="118"/>
      <c r="N67" s="118"/>
      <c r="O67" s="118"/>
      <c r="P67" s="118"/>
      <c r="Q67" s="118"/>
      <c r="R67" s="118"/>
      <c r="S67" s="118"/>
      <c r="T67" s="118"/>
    </row>
    <row r="68" spans="1:20" s="114" customFormat="1" ht="24.75" customHeight="1" hidden="1">
      <c r="A68" s="116" t="s">
        <v>83</v>
      </c>
      <c r="B68" s="115">
        <f t="shared" si="7"/>
        <v>0</v>
      </c>
      <c r="C68" s="115"/>
      <c r="D68" s="115"/>
      <c r="E68" s="117"/>
      <c r="F68" s="127">
        <v>2623</v>
      </c>
      <c r="G68" s="127"/>
      <c r="H68" s="127">
        <v>4800</v>
      </c>
      <c r="I68" s="127">
        <v>2500</v>
      </c>
      <c r="J68" s="118"/>
      <c r="K68" s="118"/>
      <c r="L68" s="150" t="s">
        <v>207</v>
      </c>
      <c r="M68" s="118"/>
      <c r="N68" s="118"/>
      <c r="O68" s="118"/>
      <c r="P68" s="118"/>
      <c r="Q68" s="118"/>
      <c r="R68" s="118"/>
      <c r="S68" s="118"/>
      <c r="T68" s="118"/>
    </row>
    <row r="69" spans="1:20" s="114" customFormat="1" ht="24.75" customHeight="1" hidden="1">
      <c r="A69" s="116" t="s">
        <v>120</v>
      </c>
      <c r="B69" s="115">
        <f t="shared" si="7"/>
        <v>10400</v>
      </c>
      <c r="C69" s="115"/>
      <c r="D69" s="115"/>
      <c r="E69" s="117"/>
      <c r="F69" s="127"/>
      <c r="G69" s="127"/>
      <c r="H69" s="127"/>
      <c r="I69" s="127"/>
      <c r="J69" s="118">
        <v>1200</v>
      </c>
      <c r="K69" s="118">
        <v>2000</v>
      </c>
      <c r="L69" s="150" t="s">
        <v>207</v>
      </c>
      <c r="M69" s="118"/>
      <c r="N69" s="118">
        <v>2200</v>
      </c>
      <c r="O69" s="118"/>
      <c r="P69" s="118"/>
      <c r="Q69" s="118">
        <v>2500</v>
      </c>
      <c r="R69" s="118"/>
      <c r="S69" s="118"/>
      <c r="T69" s="118">
        <v>2500</v>
      </c>
    </row>
    <row r="70" spans="1:20" s="125" customFormat="1" ht="15.75" customHeight="1" hidden="1">
      <c r="A70" s="123"/>
      <c r="B70" s="115"/>
      <c r="C70" s="115"/>
      <c r="D70" s="115"/>
      <c r="E70" s="124"/>
      <c r="F70" s="118"/>
      <c r="G70" s="118"/>
      <c r="H70" s="118"/>
      <c r="I70" s="118"/>
      <c r="J70" s="118"/>
      <c r="K70" s="118"/>
      <c r="L70" s="150" t="s">
        <v>207</v>
      </c>
      <c r="M70" s="118"/>
      <c r="N70" s="118"/>
      <c r="O70" s="118"/>
      <c r="P70" s="118"/>
      <c r="Q70" s="118"/>
      <c r="R70" s="118"/>
      <c r="S70" s="118"/>
      <c r="T70" s="118"/>
    </row>
    <row r="71" spans="1:20" s="114" customFormat="1" ht="24.75" customHeight="1" hidden="1">
      <c r="A71" s="116" t="s">
        <v>84</v>
      </c>
      <c r="B71" s="115">
        <f t="shared" si="7"/>
        <v>-12500</v>
      </c>
      <c r="C71" s="115"/>
      <c r="D71" s="115"/>
      <c r="E71" s="117"/>
      <c r="F71" s="127">
        <v>-380</v>
      </c>
      <c r="G71" s="127"/>
      <c r="H71" s="127">
        <v>-300</v>
      </c>
      <c r="I71" s="127">
        <v>-300</v>
      </c>
      <c r="J71" s="118">
        <v>-2500</v>
      </c>
      <c r="K71" s="118">
        <v>-2500</v>
      </c>
      <c r="L71" s="150" t="s">
        <v>207</v>
      </c>
      <c r="M71" s="118"/>
      <c r="N71" s="118">
        <v>-2500</v>
      </c>
      <c r="O71" s="118"/>
      <c r="P71" s="118"/>
      <c r="Q71" s="118">
        <v>-2500</v>
      </c>
      <c r="R71" s="118"/>
      <c r="S71" s="118"/>
      <c r="T71" s="118">
        <v>-2500</v>
      </c>
    </row>
    <row r="72" spans="1:20" s="125" customFormat="1" ht="15" customHeight="1" hidden="1">
      <c r="A72" s="123"/>
      <c r="B72" s="115"/>
      <c r="C72" s="115"/>
      <c r="D72" s="115"/>
      <c r="E72" s="124"/>
      <c r="F72" s="118"/>
      <c r="G72" s="118"/>
      <c r="H72" s="118"/>
      <c r="I72" s="118"/>
      <c r="J72" s="118"/>
      <c r="K72" s="118"/>
      <c r="L72" s="150" t="s">
        <v>207</v>
      </c>
      <c r="M72" s="118"/>
      <c r="N72" s="118"/>
      <c r="O72" s="118"/>
      <c r="P72" s="118"/>
      <c r="Q72" s="118"/>
      <c r="R72" s="118"/>
      <c r="S72" s="118"/>
      <c r="T72" s="118"/>
    </row>
    <row r="73" spans="1:20" s="114" customFormat="1" ht="24.75" customHeight="1" hidden="1">
      <c r="A73" s="119" t="s">
        <v>85</v>
      </c>
      <c r="B73" s="118" t="e">
        <f t="shared" si="7"/>
        <v>#REF!</v>
      </c>
      <c r="C73" s="118"/>
      <c r="D73" s="118"/>
      <c r="E73" s="117"/>
      <c r="F73" s="127"/>
      <c r="G73" s="127"/>
      <c r="H73" s="127"/>
      <c r="I73" s="127"/>
      <c r="J73" s="118" t="e">
        <f>+J56+J58+J71</f>
        <v>#REF!</v>
      </c>
      <c r="K73" s="118" t="e">
        <f>+K56+K58+K71</f>
        <v>#REF!</v>
      </c>
      <c r="L73" s="150" t="s">
        <v>207</v>
      </c>
      <c r="M73" s="118"/>
      <c r="N73" s="118" t="e">
        <f>+N56+N58+N71</f>
        <v>#REF!</v>
      </c>
      <c r="O73" s="118"/>
      <c r="P73" s="118"/>
      <c r="Q73" s="118" t="e">
        <f>+Q56+Q58+Q71</f>
        <v>#REF!</v>
      </c>
      <c r="R73" s="118"/>
      <c r="S73" s="118"/>
      <c r="T73" s="118" t="e">
        <f>+T56+T58+T71</f>
        <v>#REF!</v>
      </c>
    </row>
    <row r="74" spans="1:20" ht="16.5" hidden="1">
      <c r="A74" s="128"/>
      <c r="B74" s="128"/>
      <c r="C74" s="128"/>
      <c r="D74" s="128"/>
      <c r="E74" s="128"/>
      <c r="F74" s="128"/>
      <c r="G74" s="128"/>
      <c r="H74" s="128"/>
      <c r="I74" s="128"/>
      <c r="J74" s="128"/>
      <c r="K74" s="128"/>
      <c r="L74" s="150" t="s">
        <v>207</v>
      </c>
      <c r="M74" s="128"/>
      <c r="N74" s="128"/>
      <c r="O74" s="128"/>
      <c r="P74" s="128"/>
      <c r="Q74" s="128"/>
      <c r="R74" s="128"/>
      <c r="S74" s="128"/>
      <c r="T74" s="128"/>
    </row>
    <row r="100" ht="16.5"/>
    <row r="101" ht="16.5"/>
    <row r="102" ht="16.5"/>
    <row r="103" ht="16.5"/>
    <row r="104" ht="16.5"/>
    <row r="105" ht="16.5"/>
    <row r="106" ht="16.5"/>
    <row r="107" ht="16.5"/>
    <row r="108" ht="16.5"/>
    <row r="109" ht="16.5"/>
    <row r="110" ht="16.5"/>
    <row r="111" ht="16.5"/>
    <row r="112" ht="16.5"/>
    <row r="113" ht="16.5"/>
    <row r="114" ht="16.5"/>
    <row r="115" ht="16.5"/>
    <row r="116" ht="16.5"/>
    <row r="117" ht="16.5"/>
    <row r="118" ht="16.5"/>
    <row r="119" ht="16.5"/>
    <row r="120" ht="16.5"/>
    <row r="121" ht="16.5"/>
    <row r="122" ht="16.5"/>
    <row r="123" ht="16.5"/>
    <row r="124" ht="16.5"/>
    <row r="125" ht="16.5"/>
    <row r="126" ht="16.5"/>
    <row r="127" ht="16.5"/>
    <row r="128" ht="16.5"/>
    <row r="129" ht="16.5"/>
  </sheetData>
  <sheetProtection/>
  <mergeCells count="44">
    <mergeCell ref="B30:D30"/>
    <mergeCell ref="B35:D35"/>
    <mergeCell ref="K30:M30"/>
    <mergeCell ref="K35:M35"/>
    <mergeCell ref="T30:V30"/>
    <mergeCell ref="T35:V35"/>
    <mergeCell ref="N30:P30"/>
    <mergeCell ref="N35:P35"/>
    <mergeCell ref="Q30:S30"/>
    <mergeCell ref="Q35:S35"/>
    <mergeCell ref="T18:V18"/>
    <mergeCell ref="K27:M27"/>
    <mergeCell ref="N27:P27"/>
    <mergeCell ref="Q27:S27"/>
    <mergeCell ref="T27:V27"/>
    <mergeCell ref="B27:D27"/>
    <mergeCell ref="T12:V12"/>
    <mergeCell ref="T15:V15"/>
    <mergeCell ref="B37:D37"/>
    <mergeCell ref="T37:V37"/>
    <mergeCell ref="B12:D12"/>
    <mergeCell ref="B15:D15"/>
    <mergeCell ref="B18:D18"/>
    <mergeCell ref="K12:M12"/>
    <mergeCell ref="K15:M15"/>
    <mergeCell ref="K18:M18"/>
    <mergeCell ref="K37:M37"/>
    <mergeCell ref="N37:P37"/>
    <mergeCell ref="Q37:S37"/>
    <mergeCell ref="N18:P18"/>
    <mergeCell ref="Q12:S12"/>
    <mergeCell ref="Q15:S15"/>
    <mergeCell ref="Q18:S18"/>
    <mergeCell ref="N12:P12"/>
    <mergeCell ref="N15:P15"/>
    <mergeCell ref="H3:I3"/>
    <mergeCell ref="H1:I1"/>
    <mergeCell ref="H4:T4"/>
    <mergeCell ref="A2:T2"/>
    <mergeCell ref="B5:D5"/>
    <mergeCell ref="K5:M5"/>
    <mergeCell ref="N5:P5"/>
    <mergeCell ref="Q5:S5"/>
    <mergeCell ref="T5:V5"/>
  </mergeCells>
  <printOptions horizontalCentered="1"/>
  <pageMargins left="0.35433070866141736" right="0.35433070866141736" top="1.2" bottom="1.05" header="0.5118110236220472" footer="0.67"/>
  <pageSetup horizontalDpi="600" verticalDpi="600" orientation="landscape" paperSize="9" scale="88" r:id="rId3"/>
  <headerFooter alignWithMargins="0">
    <oddHeader>&amp;R&amp;P</oddHead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4:G32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12.8515625" style="0" bestFit="1" customWidth="1"/>
  </cols>
  <sheetData>
    <row r="4" spans="2:6" ht="12.75">
      <c r="B4" s="103">
        <v>2011</v>
      </c>
      <c r="C4" s="103">
        <v>2012</v>
      </c>
      <c r="D4" s="103">
        <v>2013</v>
      </c>
      <c r="E4" s="103">
        <v>2014</v>
      </c>
      <c r="F4" s="103">
        <v>2015</v>
      </c>
    </row>
    <row r="5" spans="1:6" ht="16.5">
      <c r="A5" t="s">
        <v>121</v>
      </c>
      <c r="B5" s="5">
        <v>2233.513</v>
      </c>
      <c r="C5" s="5">
        <v>2610.689</v>
      </c>
      <c r="D5" s="5">
        <v>3059.123</v>
      </c>
      <c r="E5" s="5">
        <v>3593.513</v>
      </c>
      <c r="F5" s="5">
        <v>4232.313</v>
      </c>
    </row>
    <row r="6" spans="1:6" ht="15">
      <c r="A6" t="s">
        <v>122</v>
      </c>
      <c r="B6" s="6">
        <v>2254.345</v>
      </c>
      <c r="C6" s="6">
        <v>2648.484</v>
      </c>
      <c r="D6" s="6">
        <v>3119.879</v>
      </c>
      <c r="E6" s="6">
        <v>3682.591</v>
      </c>
      <c r="F6" s="6">
        <v>4355.599</v>
      </c>
    </row>
    <row r="8" spans="1:7" s="104" customFormat="1" ht="12.75">
      <c r="A8" s="104" t="s">
        <v>118</v>
      </c>
      <c r="B8" s="105">
        <v>455.19</v>
      </c>
      <c r="C8" s="105">
        <v>518.222</v>
      </c>
      <c r="D8" s="105">
        <v>590.105</v>
      </c>
      <c r="E8" s="105">
        <v>671.628</v>
      </c>
      <c r="F8" s="105">
        <v>763.932</v>
      </c>
      <c r="G8" s="105"/>
    </row>
    <row r="9" spans="1:7" ht="12.75">
      <c r="A9" t="s">
        <v>123</v>
      </c>
      <c r="B9" s="106">
        <v>459.436</v>
      </c>
      <c r="C9" s="106">
        <v>525.796</v>
      </c>
      <c r="D9" s="106">
        <v>601.825</v>
      </c>
      <c r="E9" s="106">
        <v>688.276</v>
      </c>
      <c r="F9" s="106">
        <v>786.186</v>
      </c>
      <c r="G9" s="106"/>
    </row>
    <row r="10" spans="1:7" s="104" customFormat="1" ht="12.75">
      <c r="A10" s="104" t="s">
        <v>119</v>
      </c>
      <c r="B10" s="105">
        <v>903.68</v>
      </c>
      <c r="C10" s="105">
        <v>1059.679</v>
      </c>
      <c r="D10" s="105">
        <v>1245.981</v>
      </c>
      <c r="E10" s="105">
        <v>1468.669</v>
      </c>
      <c r="F10" s="105">
        <v>1736.095</v>
      </c>
      <c r="G10" s="105"/>
    </row>
    <row r="11" spans="1:7" ht="12.75">
      <c r="A11" t="s">
        <v>124</v>
      </c>
      <c r="B11" s="106">
        <v>912.108</v>
      </c>
      <c r="C11" s="106">
        <v>1075.167</v>
      </c>
      <c r="D11" s="106">
        <v>1270.727</v>
      </c>
      <c r="E11" s="106">
        <v>1505.075</v>
      </c>
      <c r="F11" s="106">
        <v>1786.667</v>
      </c>
      <c r="G11" s="106"/>
    </row>
    <row r="12" spans="1:7" s="104" customFormat="1" ht="12.75">
      <c r="A12" s="104" t="s">
        <v>125</v>
      </c>
      <c r="B12" s="105">
        <v>874.644</v>
      </c>
      <c r="C12" s="105">
        <v>1032.789</v>
      </c>
      <c r="D12" s="105">
        <v>1223.037</v>
      </c>
      <c r="E12" s="105">
        <v>1453.217</v>
      </c>
      <c r="F12" s="105">
        <v>1732</v>
      </c>
      <c r="G12" s="105"/>
    </row>
    <row r="13" spans="1:7" ht="12.75">
      <c r="A13" t="s">
        <v>126</v>
      </c>
      <c r="B13" s="106">
        <v>882.802</v>
      </c>
      <c r="C13" s="106">
        <v>1047.884</v>
      </c>
      <c r="D13" s="106">
        <v>1247.328</v>
      </c>
      <c r="E13" s="106">
        <v>1489.24</v>
      </c>
      <c r="F13" s="106" t="e">
        <f>F6*#REF!/100</f>
        <v>#REF!</v>
      </c>
      <c r="G13" s="106"/>
    </row>
    <row r="14" spans="2:7" ht="12.75">
      <c r="B14" s="106"/>
      <c r="C14" s="106"/>
      <c r="D14" s="106"/>
      <c r="E14" s="106"/>
      <c r="F14" s="106"/>
      <c r="G14" s="106"/>
    </row>
    <row r="15" spans="2:7" ht="12.75">
      <c r="B15" s="106"/>
      <c r="C15" s="106"/>
      <c r="D15" s="106"/>
      <c r="E15" s="106"/>
      <c r="F15" s="106"/>
      <c r="G15" s="106"/>
    </row>
    <row r="16" spans="1:7" ht="12.75">
      <c r="A16" t="s">
        <v>127</v>
      </c>
      <c r="B16" s="106" t="s">
        <v>130</v>
      </c>
      <c r="C16" s="106"/>
      <c r="D16" s="106"/>
      <c r="E16" s="106"/>
      <c r="F16" s="106" t="s">
        <v>128</v>
      </c>
      <c r="G16" s="106" t="s">
        <v>129</v>
      </c>
    </row>
    <row r="17" spans="1:7" ht="12.75">
      <c r="A17" s="104" t="s">
        <v>115</v>
      </c>
      <c r="B17" s="106" t="e">
        <f>#REF!*#REF!/100</f>
        <v>#REF!</v>
      </c>
      <c r="C17" s="106" t="e">
        <f>#REF!*#REF!/100</f>
        <v>#REF!</v>
      </c>
      <c r="D17" s="106" t="e">
        <f>#REF!*#REF!/100</f>
        <v>#REF!</v>
      </c>
      <c r="E17" s="106" t="e">
        <f>#REF!*#REF!/100</f>
        <v>#REF!</v>
      </c>
      <c r="F17" s="106" t="e">
        <f>#REF!*40/100</f>
        <v>#REF!</v>
      </c>
      <c r="G17" s="106" t="e">
        <f>#REF!*41/100</f>
        <v>#REF!</v>
      </c>
    </row>
    <row r="18" spans="1:7" ht="12.75">
      <c r="A18" t="s">
        <v>116</v>
      </c>
      <c r="B18" s="106" t="e">
        <f>#REF!*#REF!/100</f>
        <v>#REF!</v>
      </c>
      <c r="C18" s="106" t="e">
        <f>#REF!*#REF!/100</f>
        <v>#REF!</v>
      </c>
      <c r="D18" s="106" t="e">
        <f>#REF!*#REF!/100</f>
        <v>#REF!</v>
      </c>
      <c r="E18" s="106" t="e">
        <f>#REF!*#REF!/100</f>
        <v>#REF!</v>
      </c>
      <c r="F18" s="106" t="e">
        <f>#REF!*28/100</f>
        <v>#REF!</v>
      </c>
      <c r="G18" s="106" t="e">
        <f>#REF!*29/100</f>
        <v>#REF!</v>
      </c>
    </row>
    <row r="19" spans="1:7" ht="12.75">
      <c r="A19" s="104" t="s">
        <v>117</v>
      </c>
      <c r="B19" s="106" t="e">
        <f>#REF!*#REF!/100</f>
        <v>#REF!</v>
      </c>
      <c r="C19" s="106" t="e">
        <f>#REF!*#REF!/100</f>
        <v>#REF!</v>
      </c>
      <c r="D19" s="106" t="e">
        <f>#REF!*#REF!/100</f>
        <v>#REF!</v>
      </c>
      <c r="E19" s="106" t="e">
        <f>#REF!*#REF!/100</f>
        <v>#REF!</v>
      </c>
      <c r="F19" s="106" t="e">
        <f>#REF!*30/100</f>
        <v>#REF!</v>
      </c>
      <c r="G19" s="106" t="e">
        <f>#REF!*31/100</f>
        <v>#REF!</v>
      </c>
    </row>
    <row r="21" spans="1:7" ht="12.75">
      <c r="A21" s="104"/>
      <c r="B21" s="106" t="e">
        <f aca="true" t="shared" si="0" ref="B21:G21">SUM(B17:B19)</f>
        <v>#REF!</v>
      </c>
      <c r="C21" s="106" t="e">
        <f t="shared" si="0"/>
        <v>#REF!</v>
      </c>
      <c r="D21" s="106" t="e">
        <f t="shared" si="0"/>
        <v>#REF!</v>
      </c>
      <c r="E21" s="106" t="e">
        <f t="shared" si="0"/>
        <v>#REF!</v>
      </c>
      <c r="F21" s="106" t="e">
        <f t="shared" si="0"/>
        <v>#REF!</v>
      </c>
      <c r="G21" s="106" t="e">
        <f t="shared" si="0"/>
        <v>#REF!</v>
      </c>
    </row>
    <row r="23" ht="12.75">
      <c r="A23" t="s">
        <v>131</v>
      </c>
    </row>
    <row r="24" spans="1:6" ht="12.75">
      <c r="A24" t="s">
        <v>132</v>
      </c>
      <c r="B24" t="e">
        <f>B5/B21</f>
        <v>#REF!</v>
      </c>
      <c r="C24" t="e">
        <f>C5/C21</f>
        <v>#REF!</v>
      </c>
      <c r="D24" t="e">
        <f>D5/D21</f>
        <v>#REF!</v>
      </c>
      <c r="E24" t="e">
        <f>E5/E21</f>
        <v>#REF!</v>
      </c>
      <c r="F24" t="e">
        <f>F5/F21</f>
        <v>#REF!</v>
      </c>
    </row>
    <row r="25" spans="1:6" ht="12.75">
      <c r="A25" t="s">
        <v>132</v>
      </c>
      <c r="B25" t="e">
        <f>B6/B21</f>
        <v>#REF!</v>
      </c>
      <c r="C25" t="e">
        <f>C6/C21</f>
        <v>#REF!</v>
      </c>
      <c r="D25" t="e">
        <f>D6/D21</f>
        <v>#REF!</v>
      </c>
      <c r="E25" t="e">
        <f>E6/E21</f>
        <v>#REF!</v>
      </c>
      <c r="F25" t="e">
        <f>F6/F21</f>
        <v>#REF!</v>
      </c>
    </row>
    <row r="27" spans="1:7" ht="12.75">
      <c r="A27" s="104" t="s">
        <v>118</v>
      </c>
      <c r="B27" s="106" t="e">
        <f>B8/B17</f>
        <v>#REF!</v>
      </c>
      <c r="C27" s="106" t="e">
        <f>C8/C17</f>
        <v>#REF!</v>
      </c>
      <c r="D27" s="106" t="e">
        <f>D8/D17</f>
        <v>#REF!</v>
      </c>
      <c r="E27" s="106" t="e">
        <f>E8/E17</f>
        <v>#REF!</v>
      </c>
      <c r="F27" s="106" t="e">
        <f>$F$8/F17</f>
        <v>#REF!</v>
      </c>
      <c r="G27" s="106" t="e">
        <f>$F$8/G17</f>
        <v>#REF!</v>
      </c>
    </row>
    <row r="28" spans="1:7" ht="12.75">
      <c r="A28" t="s">
        <v>123</v>
      </c>
      <c r="B28" s="106" t="e">
        <f aca="true" t="shared" si="1" ref="B28:E29">B9/B17</f>
        <v>#REF!</v>
      </c>
      <c r="C28" s="106" t="e">
        <f t="shared" si="1"/>
        <v>#REF!</v>
      </c>
      <c r="D28" s="106" t="e">
        <f t="shared" si="1"/>
        <v>#REF!</v>
      </c>
      <c r="E28" s="106" t="e">
        <f t="shared" si="1"/>
        <v>#REF!</v>
      </c>
      <c r="F28" s="106" t="e">
        <f>$F$9/F17</f>
        <v>#REF!</v>
      </c>
      <c r="G28" s="106" t="e">
        <f>$F$9/G17</f>
        <v>#REF!</v>
      </c>
    </row>
    <row r="29" spans="1:7" ht="12.75">
      <c r="A29" s="104" t="s">
        <v>119</v>
      </c>
      <c r="B29" s="106" t="e">
        <f t="shared" si="1"/>
        <v>#REF!</v>
      </c>
      <c r="C29" s="106" t="e">
        <f t="shared" si="1"/>
        <v>#REF!</v>
      </c>
      <c r="D29" s="106" t="e">
        <f t="shared" si="1"/>
        <v>#REF!</v>
      </c>
      <c r="E29" s="106" t="e">
        <f t="shared" si="1"/>
        <v>#REF!</v>
      </c>
      <c r="F29" s="106" t="e">
        <f>$F$10/F18</f>
        <v>#REF!</v>
      </c>
      <c r="G29" s="106" t="e">
        <f>$F$10/G18</f>
        <v>#REF!</v>
      </c>
    </row>
    <row r="30" spans="1:7" ht="12.75">
      <c r="A30" t="s">
        <v>124</v>
      </c>
      <c r="B30" s="106" t="e">
        <f aca="true" t="shared" si="2" ref="B30:E31">B11/B18</f>
        <v>#REF!</v>
      </c>
      <c r="C30" s="106" t="e">
        <f t="shared" si="2"/>
        <v>#REF!</v>
      </c>
      <c r="D30" s="106" t="e">
        <f t="shared" si="2"/>
        <v>#REF!</v>
      </c>
      <c r="E30" s="106" t="e">
        <f t="shared" si="2"/>
        <v>#REF!</v>
      </c>
      <c r="F30" s="106" t="e">
        <f>$F$11/F18</f>
        <v>#REF!</v>
      </c>
      <c r="G30" s="106" t="e">
        <f>$F$11/G18</f>
        <v>#REF!</v>
      </c>
    </row>
    <row r="31" spans="1:7" ht="12.75">
      <c r="A31" s="104" t="s">
        <v>125</v>
      </c>
      <c r="B31" s="106" t="e">
        <f t="shared" si="2"/>
        <v>#REF!</v>
      </c>
      <c r="C31" s="106" t="e">
        <f t="shared" si="2"/>
        <v>#REF!</v>
      </c>
      <c r="D31" s="106" t="e">
        <f t="shared" si="2"/>
        <v>#REF!</v>
      </c>
      <c r="E31" s="106" t="e">
        <f t="shared" si="2"/>
        <v>#REF!</v>
      </c>
      <c r="F31" s="106" t="e">
        <f>$F$12/F19</f>
        <v>#REF!</v>
      </c>
      <c r="G31" s="106" t="e">
        <f>$F$12/G19</f>
        <v>#REF!</v>
      </c>
    </row>
    <row r="32" spans="1:7" ht="12.75">
      <c r="A32" t="s">
        <v>126</v>
      </c>
      <c r="B32" s="106" t="e">
        <f>B13/B19</f>
        <v>#REF!</v>
      </c>
      <c r="C32" s="106" t="e">
        <f>C13/C19</f>
        <v>#REF!</v>
      </c>
      <c r="D32" s="106" t="e">
        <f>D13/D19</f>
        <v>#REF!</v>
      </c>
      <c r="E32" s="106" t="e">
        <f>E13/E19</f>
        <v>#REF!</v>
      </c>
      <c r="F32" s="106" t="e">
        <f>$F$13/F19</f>
        <v>#REF!</v>
      </c>
      <c r="G32" s="106" t="e">
        <f>$F$13/G19</f>
        <v>#REF!</v>
      </c>
    </row>
  </sheetData>
  <sheetProtection/>
  <printOptions/>
  <pageMargins left="0.7480314960629921" right="0.7480314960629921" top="0.984251968503937" bottom="0.984251968503937" header="0.5118110236220472" footer="0.5118110236220472"/>
  <pageSetup firstPageNumber="138" useFirstPageNumber="1" horizontalDpi="600" verticalDpi="600" orientation="landscape" paperSize="9" r:id="rId1"/>
  <headerFooter alignWithMargins="0">
    <oddHeader>&amp;R&amp;P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5.140625" style="4" customWidth="1"/>
    <col min="2" max="2" width="36.57421875" style="2" customWidth="1"/>
    <col min="3" max="3" width="15.8515625" style="3" customWidth="1"/>
    <col min="4" max="4" width="12.8515625" style="1" customWidth="1"/>
    <col min="5" max="5" width="10.140625" style="1" hidden="1" customWidth="1"/>
    <col min="6" max="10" width="10.140625" style="1" customWidth="1"/>
    <col min="11" max="11" width="12.421875" style="1" customWidth="1"/>
    <col min="12" max="16384" width="9.140625" style="1" customWidth="1"/>
  </cols>
  <sheetData>
    <row r="1" ht="30" customHeight="1">
      <c r="K1" s="7" t="s">
        <v>31</v>
      </c>
    </row>
    <row r="2" spans="1:11" ht="18" customHeight="1">
      <c r="A2" s="1841" t="s">
        <v>51</v>
      </c>
      <c r="B2" s="1841"/>
      <c r="C2" s="1841"/>
      <c r="D2" s="1841"/>
      <c r="E2" s="1841"/>
      <c r="F2" s="1841"/>
      <c r="G2" s="1841"/>
      <c r="H2" s="1841"/>
      <c r="I2" s="1841"/>
      <c r="J2" s="1841"/>
      <c r="K2" s="1841"/>
    </row>
    <row r="3" ht="15" customHeight="1"/>
    <row r="4" spans="1:11" s="91" customFormat="1" ht="22.5" customHeight="1">
      <c r="A4" s="1842" t="s">
        <v>0</v>
      </c>
      <c r="B4" s="1842" t="s">
        <v>1</v>
      </c>
      <c r="C4" s="1842" t="s">
        <v>2</v>
      </c>
      <c r="D4" s="1842" t="s">
        <v>50</v>
      </c>
      <c r="E4" s="1842" t="s">
        <v>27</v>
      </c>
      <c r="F4" s="1842">
        <v>2011</v>
      </c>
      <c r="G4" s="1842">
        <v>2012</v>
      </c>
      <c r="H4" s="1844">
        <v>2013</v>
      </c>
      <c r="I4" s="1842">
        <v>2014</v>
      </c>
      <c r="J4" s="1842">
        <v>2015</v>
      </c>
      <c r="K4" s="1842" t="s">
        <v>28</v>
      </c>
    </row>
    <row r="5" spans="1:11" s="91" customFormat="1" ht="21" customHeight="1">
      <c r="A5" s="1843"/>
      <c r="B5" s="1843"/>
      <c r="C5" s="1843"/>
      <c r="D5" s="1843"/>
      <c r="E5" s="1843"/>
      <c r="F5" s="1843"/>
      <c r="G5" s="1843"/>
      <c r="H5" s="1845"/>
      <c r="I5" s="1843"/>
      <c r="J5" s="1843"/>
      <c r="K5" s="1843"/>
    </row>
    <row r="6" spans="1:11" ht="19.5" customHeight="1">
      <c r="A6" s="29"/>
      <c r="B6" s="32"/>
      <c r="C6" s="92"/>
      <c r="D6" s="18"/>
      <c r="E6" s="18"/>
      <c r="F6" s="18"/>
      <c r="G6" s="18"/>
      <c r="H6" s="18"/>
      <c r="I6" s="89"/>
      <c r="J6" s="89"/>
      <c r="K6" s="20"/>
    </row>
    <row r="7" spans="1:11" s="21" customFormat="1" ht="33.75" customHeight="1">
      <c r="A7" s="15" t="s">
        <v>29</v>
      </c>
      <c r="B7" s="16" t="s">
        <v>45</v>
      </c>
      <c r="C7" s="30" t="s">
        <v>17</v>
      </c>
      <c r="E7" s="41">
        <f>E10+E13</f>
        <v>714.052</v>
      </c>
      <c r="F7" s="41"/>
      <c r="G7" s="41"/>
      <c r="H7" s="73"/>
      <c r="I7" s="73"/>
      <c r="J7" s="73"/>
      <c r="K7" s="8"/>
    </row>
    <row r="8" spans="1:12" s="64" customFormat="1" ht="33.75" customHeight="1">
      <c r="A8" s="59"/>
      <c r="B8" s="55" t="s">
        <v>19</v>
      </c>
      <c r="C8" s="30" t="s">
        <v>6</v>
      </c>
      <c r="D8" s="56"/>
      <c r="E8" s="63"/>
      <c r="F8" s="65"/>
      <c r="G8" s="65"/>
      <c r="H8" s="77"/>
      <c r="I8" s="77"/>
      <c r="J8" s="77"/>
      <c r="K8" s="59"/>
      <c r="L8" s="88"/>
    </row>
    <row r="9" spans="1:11" s="64" customFormat="1" ht="33.75" customHeight="1">
      <c r="A9" s="59"/>
      <c r="B9" s="55" t="s">
        <v>43</v>
      </c>
      <c r="C9" s="30" t="s">
        <v>6</v>
      </c>
      <c r="D9" s="56"/>
      <c r="E9" s="63">
        <f>E7/E31*100</f>
        <v>85.08722592945662</v>
      </c>
      <c r="F9" s="63"/>
      <c r="G9" s="63"/>
      <c r="H9" s="75"/>
      <c r="I9" s="75"/>
      <c r="J9" s="75"/>
      <c r="K9" s="59"/>
    </row>
    <row r="10" spans="1:11" s="9" customFormat="1" ht="33.75" customHeight="1">
      <c r="A10" s="15" t="s">
        <v>30</v>
      </c>
      <c r="B10" s="16" t="s">
        <v>44</v>
      </c>
      <c r="C10" s="30" t="s">
        <v>17</v>
      </c>
      <c r="E10" s="41">
        <v>152.571</v>
      </c>
      <c r="F10" s="41"/>
      <c r="G10" s="41"/>
      <c r="H10" s="85"/>
      <c r="I10" s="85"/>
      <c r="J10" s="85"/>
      <c r="K10" s="15"/>
    </row>
    <row r="11" spans="1:11" s="60" customFormat="1" ht="33.75" customHeight="1">
      <c r="A11" s="54"/>
      <c r="B11" s="62" t="s">
        <v>49</v>
      </c>
      <c r="C11" s="30" t="s">
        <v>6</v>
      </c>
      <c r="D11" s="56"/>
      <c r="E11" s="57"/>
      <c r="F11" s="58"/>
      <c r="G11" s="58"/>
      <c r="H11" s="74"/>
      <c r="I11" s="74"/>
      <c r="J11" s="74"/>
      <c r="K11" s="59"/>
    </row>
    <row r="12" spans="1:11" s="60" customFormat="1" ht="33.75" customHeight="1">
      <c r="A12" s="54"/>
      <c r="B12" s="62" t="s">
        <v>35</v>
      </c>
      <c r="C12" s="30" t="s">
        <v>6</v>
      </c>
      <c r="D12" s="56"/>
      <c r="E12" s="65">
        <f>E10/E7*100</f>
        <v>21.36693125990824</v>
      </c>
      <c r="F12" s="65"/>
      <c r="G12" s="65"/>
      <c r="H12" s="74"/>
      <c r="I12" s="74"/>
      <c r="J12" s="74"/>
      <c r="K12" s="59"/>
    </row>
    <row r="13" spans="1:11" s="21" customFormat="1" ht="33.75" customHeight="1">
      <c r="A13" s="15" t="s">
        <v>41</v>
      </c>
      <c r="B13" s="16" t="s">
        <v>32</v>
      </c>
      <c r="C13" s="30" t="s">
        <v>17</v>
      </c>
      <c r="E13" s="41">
        <f>E17+E19</f>
        <v>561.481</v>
      </c>
      <c r="F13" s="41"/>
      <c r="G13" s="41"/>
      <c r="H13" s="76"/>
      <c r="I13" s="76"/>
      <c r="J13" s="76"/>
      <c r="K13" s="8"/>
    </row>
    <row r="14" spans="1:11" s="64" customFormat="1" ht="28.5" customHeight="1">
      <c r="A14" s="59"/>
      <c r="B14" s="62" t="s">
        <v>49</v>
      </c>
      <c r="C14" s="30" t="s">
        <v>6</v>
      </c>
      <c r="D14" s="56"/>
      <c r="E14" s="63"/>
      <c r="F14" s="58"/>
      <c r="G14" s="58"/>
      <c r="H14" s="77"/>
      <c r="I14" s="77"/>
      <c r="J14" s="77"/>
      <c r="K14" s="59"/>
    </row>
    <row r="15" spans="1:11" s="64" customFormat="1" ht="27.75" customHeight="1">
      <c r="A15" s="59"/>
      <c r="B15" s="62" t="s">
        <v>40</v>
      </c>
      <c r="C15" s="30" t="s">
        <v>6</v>
      </c>
      <c r="D15" s="56"/>
      <c r="E15" s="63">
        <f>E10/E31*100</f>
        <v>18.180529075309817</v>
      </c>
      <c r="F15" s="63"/>
      <c r="G15" s="63"/>
      <c r="H15" s="75"/>
      <c r="I15" s="75"/>
      <c r="J15" s="75"/>
      <c r="K15" s="59"/>
    </row>
    <row r="16" spans="1:11" s="21" customFormat="1" ht="25.5" customHeight="1">
      <c r="A16" s="8"/>
      <c r="B16" s="12" t="s">
        <v>7</v>
      </c>
      <c r="C16" s="30"/>
      <c r="D16" s="19"/>
      <c r="E16" s="41"/>
      <c r="F16" s="41"/>
      <c r="G16" s="41"/>
      <c r="H16" s="72"/>
      <c r="I16" s="72"/>
      <c r="J16" s="72"/>
      <c r="K16" s="8"/>
    </row>
    <row r="17" spans="1:11" s="33" customFormat="1" ht="26.25" customHeight="1">
      <c r="A17" s="38"/>
      <c r="B17" s="66" t="s">
        <v>33</v>
      </c>
      <c r="C17" s="30" t="s">
        <v>17</v>
      </c>
      <c r="D17" s="44"/>
      <c r="E17" s="41">
        <v>402.301</v>
      </c>
      <c r="F17" s="41"/>
      <c r="G17" s="41"/>
      <c r="H17" s="78"/>
      <c r="I17" s="78"/>
      <c r="J17" s="78"/>
      <c r="K17" s="38"/>
    </row>
    <row r="18" spans="1:11" s="33" customFormat="1" ht="26.25" customHeight="1">
      <c r="A18" s="38"/>
      <c r="B18" s="67" t="s">
        <v>19</v>
      </c>
      <c r="C18" s="86" t="s">
        <v>6</v>
      </c>
      <c r="D18" s="28"/>
      <c r="E18" s="41"/>
      <c r="F18" s="31"/>
      <c r="G18" s="31"/>
      <c r="H18" s="79"/>
      <c r="I18" s="79"/>
      <c r="J18" s="79"/>
      <c r="K18" s="11"/>
    </row>
    <row r="19" spans="1:11" s="33" customFormat="1" ht="25.5" customHeight="1">
      <c r="A19" s="38"/>
      <c r="B19" s="66" t="s">
        <v>34</v>
      </c>
      <c r="C19" s="30" t="s">
        <v>17</v>
      </c>
      <c r="D19" s="44"/>
      <c r="E19" s="41">
        <v>159.18</v>
      </c>
      <c r="F19" s="41"/>
      <c r="G19" s="41"/>
      <c r="H19" s="78"/>
      <c r="I19" s="78"/>
      <c r="J19" s="78"/>
      <c r="K19" s="38"/>
    </row>
    <row r="20" spans="1:11" s="33" customFormat="1" ht="24.75" customHeight="1">
      <c r="A20" s="38"/>
      <c r="B20" s="67" t="s">
        <v>19</v>
      </c>
      <c r="C20" s="86" t="s">
        <v>6</v>
      </c>
      <c r="D20" s="28"/>
      <c r="E20" s="41"/>
      <c r="F20" s="31"/>
      <c r="G20" s="31"/>
      <c r="H20" s="79"/>
      <c r="I20" s="79"/>
      <c r="J20" s="79"/>
      <c r="K20" s="11"/>
    </row>
    <row r="21" spans="1:11" s="33" customFormat="1" ht="19.5" customHeight="1">
      <c r="A21" s="38"/>
      <c r="B21" s="67"/>
      <c r="C21" s="86"/>
      <c r="D21" s="28"/>
      <c r="E21" s="41"/>
      <c r="F21" s="31"/>
      <c r="G21" s="31"/>
      <c r="H21" s="80"/>
      <c r="I21" s="80"/>
      <c r="J21" s="80"/>
      <c r="K21" s="11"/>
    </row>
    <row r="22" spans="1:11" s="21" customFormat="1" ht="33.75" customHeight="1">
      <c r="A22" s="15" t="s">
        <v>42</v>
      </c>
      <c r="B22" s="16" t="s">
        <v>36</v>
      </c>
      <c r="C22" s="30" t="s">
        <v>17</v>
      </c>
      <c r="D22" s="28"/>
      <c r="E22" s="41">
        <f>E25+E28</f>
        <v>556.0989999999999</v>
      </c>
      <c r="F22" s="41"/>
      <c r="G22" s="41"/>
      <c r="H22" s="76"/>
      <c r="I22" s="76"/>
      <c r="J22" s="76"/>
      <c r="K22" s="8"/>
    </row>
    <row r="23" spans="1:11" s="21" customFormat="1" ht="33.75" customHeight="1">
      <c r="A23" s="8"/>
      <c r="B23" s="55" t="s">
        <v>19</v>
      </c>
      <c r="C23" s="30" t="s">
        <v>6</v>
      </c>
      <c r="D23" s="27"/>
      <c r="E23" s="43"/>
      <c r="F23" s="17"/>
      <c r="G23" s="17"/>
      <c r="H23" s="81"/>
      <c r="I23" s="81"/>
      <c r="J23" s="81"/>
      <c r="K23" s="8"/>
    </row>
    <row r="24" spans="1:11" s="21" customFormat="1" ht="33.75" customHeight="1">
      <c r="A24" s="8"/>
      <c r="B24" s="12" t="s">
        <v>7</v>
      </c>
      <c r="C24" s="30"/>
      <c r="D24" s="19"/>
      <c r="E24" s="68"/>
      <c r="F24" s="68"/>
      <c r="G24" s="68"/>
      <c r="H24" s="72"/>
      <c r="I24" s="72"/>
      <c r="J24" s="72"/>
      <c r="K24" s="8"/>
    </row>
    <row r="25" spans="1:11" s="21" customFormat="1" ht="33.75" customHeight="1">
      <c r="A25" s="8"/>
      <c r="B25" s="26" t="s">
        <v>37</v>
      </c>
      <c r="C25" s="30" t="s">
        <v>17</v>
      </c>
      <c r="D25" s="19"/>
      <c r="E25" s="22">
        <v>421.654</v>
      </c>
      <c r="F25" s="22"/>
      <c r="G25" s="22"/>
      <c r="H25" s="72"/>
      <c r="I25" s="72"/>
      <c r="J25" s="72"/>
      <c r="K25" s="8"/>
    </row>
    <row r="26" spans="1:11" s="21" customFormat="1" ht="33.75" customHeight="1">
      <c r="A26" s="8"/>
      <c r="B26" s="61" t="s">
        <v>46</v>
      </c>
      <c r="C26" s="30" t="s">
        <v>6</v>
      </c>
      <c r="D26" s="19"/>
      <c r="E26" s="22"/>
      <c r="F26" s="31"/>
      <c r="G26" s="31"/>
      <c r="H26" s="79"/>
      <c r="I26" s="79"/>
      <c r="J26" s="79"/>
      <c r="K26" s="8"/>
    </row>
    <row r="27" spans="1:11" s="25" customFormat="1" ht="33.75" customHeight="1">
      <c r="A27" s="23"/>
      <c r="B27" s="46" t="s">
        <v>47</v>
      </c>
      <c r="C27" s="30" t="s">
        <v>6</v>
      </c>
      <c r="D27" s="24"/>
      <c r="E27" s="17">
        <f>+E25/E22*100</f>
        <v>75.82354940397305</v>
      </c>
      <c r="F27" s="17"/>
      <c r="G27" s="17"/>
      <c r="H27" s="81"/>
      <c r="I27" s="81"/>
      <c r="J27" s="81"/>
      <c r="K27" s="23"/>
    </row>
    <row r="28" spans="1:12" s="21" customFormat="1" ht="33.75" customHeight="1">
      <c r="A28" s="8"/>
      <c r="B28" s="26" t="s">
        <v>38</v>
      </c>
      <c r="C28" s="30" t="s">
        <v>17</v>
      </c>
      <c r="D28" s="19"/>
      <c r="E28" s="45">
        <v>134.445</v>
      </c>
      <c r="F28" s="45"/>
      <c r="G28" s="45"/>
      <c r="H28" s="82"/>
      <c r="I28" s="82"/>
      <c r="J28" s="82"/>
      <c r="K28" s="8"/>
      <c r="L28" s="87"/>
    </row>
    <row r="29" spans="1:11" s="14" customFormat="1" ht="33.75" customHeight="1">
      <c r="A29" s="11"/>
      <c r="B29" s="61" t="s">
        <v>46</v>
      </c>
      <c r="C29" s="86" t="s">
        <v>6</v>
      </c>
      <c r="D29" s="28"/>
      <c r="E29" s="71"/>
      <c r="F29" s="31"/>
      <c r="G29" s="31"/>
      <c r="H29" s="80"/>
      <c r="I29" s="80"/>
      <c r="J29" s="80"/>
      <c r="K29" s="11"/>
    </row>
    <row r="30" spans="1:11" s="14" customFormat="1" ht="33.75" customHeight="1">
      <c r="A30" s="69"/>
      <c r="B30" s="47" t="s">
        <v>48</v>
      </c>
      <c r="C30" s="86" t="s">
        <v>6</v>
      </c>
      <c r="D30" s="28"/>
      <c r="E30" s="13">
        <f>+E28/E22*100</f>
        <v>24.176450596026967</v>
      </c>
      <c r="F30" s="13"/>
      <c r="G30" s="13"/>
      <c r="H30" s="83"/>
      <c r="I30" s="83"/>
      <c r="J30" s="83"/>
      <c r="K30" s="70"/>
    </row>
    <row r="31" spans="1:11" s="25" customFormat="1" ht="33.75" customHeight="1" hidden="1">
      <c r="A31" s="48" t="s">
        <v>20</v>
      </c>
      <c r="B31" s="49" t="s">
        <v>39</v>
      </c>
      <c r="C31" s="10" t="s">
        <v>17</v>
      </c>
      <c r="D31" s="50"/>
      <c r="E31" s="42">
        <v>839.2</v>
      </c>
      <c r="F31" s="42">
        <v>974.3</v>
      </c>
      <c r="G31" s="51">
        <v>1144</v>
      </c>
      <c r="H31" s="50">
        <v>1490</v>
      </c>
      <c r="I31" s="90"/>
      <c r="J31" s="90"/>
      <c r="K31" s="40"/>
    </row>
    <row r="32" spans="1:11" s="21" customFormat="1" ht="19.5" customHeight="1">
      <c r="A32" s="36"/>
      <c r="B32" s="35"/>
      <c r="C32" s="93"/>
      <c r="D32" s="37"/>
      <c r="E32" s="52"/>
      <c r="F32" s="37"/>
      <c r="G32" s="37"/>
      <c r="H32" s="84"/>
      <c r="I32" s="84"/>
      <c r="J32" s="84"/>
      <c r="K32" s="34"/>
    </row>
    <row r="34" spans="4:10" ht="15">
      <c r="D34" s="39"/>
      <c r="H34" s="53"/>
      <c r="I34" s="53"/>
      <c r="J34" s="53"/>
    </row>
    <row r="35" spans="8:10" ht="15">
      <c r="H35" s="53"/>
      <c r="I35" s="53"/>
      <c r="J35" s="53"/>
    </row>
  </sheetData>
  <sheetProtection/>
  <mergeCells count="12">
    <mergeCell ref="H4:H5"/>
    <mergeCell ref="I4:I5"/>
    <mergeCell ref="A2:K2"/>
    <mergeCell ref="A4:A5"/>
    <mergeCell ref="B4:B5"/>
    <mergeCell ref="C4:C5"/>
    <mergeCell ref="D4:D5"/>
    <mergeCell ref="E4:E5"/>
    <mergeCell ref="K4:K5"/>
    <mergeCell ref="J4:J5"/>
    <mergeCell ref="F4:F5"/>
    <mergeCell ref="G4:G5"/>
  </mergeCells>
  <printOptions/>
  <pageMargins left="0.71" right="0.66" top="0.73" bottom="0.93" header="0.5" footer="0.5"/>
  <pageSetup horizontalDpi="600" verticalDpi="600" orientation="landscape" paperSize="9" r:id="rId3"/>
  <headerFooter alignWithMargins="0"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9"/>
  <sheetViews>
    <sheetView zoomScale="70" zoomScaleNormal="70" zoomScalePageLayoutView="0" workbookViewId="0" topLeftCell="A4">
      <selection activeCell="F14" sqref="F14"/>
    </sheetView>
  </sheetViews>
  <sheetFormatPr defaultColWidth="9.140625" defaultRowHeight="12.75"/>
  <cols>
    <col min="1" max="1" width="5.8515625" style="351" customWidth="1"/>
    <col min="2" max="2" width="33.140625" style="347" customWidth="1"/>
    <col min="3" max="3" width="17.421875" style="348" customWidth="1"/>
    <col min="4" max="4" width="16.8515625" style="351" customWidth="1"/>
    <col min="5" max="5" width="16.28125" style="331" customWidth="1"/>
    <col min="6" max="6" width="15.28125" style="331" customWidth="1"/>
    <col min="7" max="7" width="17.00390625" style="331" customWidth="1"/>
    <col min="8" max="8" width="12.421875" style="331" customWidth="1"/>
    <col min="9" max="9" width="15.00390625" style="331" customWidth="1"/>
    <col min="10" max="10" width="21.140625" style="331" customWidth="1"/>
    <col min="11" max="16384" width="9.140625" style="331" customWidth="1"/>
  </cols>
  <sheetData>
    <row r="1" spans="1:10" ht="36.75" customHeight="1">
      <c r="A1" s="331"/>
      <c r="D1" s="348"/>
      <c r="I1" s="365" t="s">
        <v>702</v>
      </c>
      <c r="J1" s="684" t="s">
        <v>704</v>
      </c>
    </row>
    <row r="2" spans="1:10" ht="22.5" customHeight="1">
      <c r="A2" s="331"/>
      <c r="B2" s="1769" t="s">
        <v>476</v>
      </c>
      <c r="C2" s="1769"/>
      <c r="D2" s="1769"/>
      <c r="E2" s="1769"/>
      <c r="F2" s="1769"/>
      <c r="G2" s="1769"/>
      <c r="H2" s="1769"/>
      <c r="I2" s="1769"/>
      <c r="J2" s="1769"/>
    </row>
    <row r="3" spans="1:10" ht="27.75" customHeight="1">
      <c r="A3" s="1767" t="s">
        <v>333</v>
      </c>
      <c r="B3" s="1767"/>
      <c r="C3" s="1767"/>
      <c r="D3" s="1767"/>
      <c r="E3" s="1767"/>
      <c r="F3" s="1767"/>
      <c r="G3" s="1767"/>
      <c r="H3" s="1767"/>
      <c r="I3" s="1767"/>
      <c r="J3" s="1767"/>
    </row>
    <row r="4" spans="1:10" ht="35.25" customHeight="1">
      <c r="A4" s="1768" t="s">
        <v>708</v>
      </c>
      <c r="B4" s="1767"/>
      <c r="C4" s="1767"/>
      <c r="D4" s="1767"/>
      <c r="E4" s="1767"/>
      <c r="F4" s="1767"/>
      <c r="G4" s="1767"/>
      <c r="H4" s="1767"/>
      <c r="I4" s="1767"/>
      <c r="J4" s="1767"/>
    </row>
    <row r="5" spans="1:10" ht="16.5">
      <c r="A5" s="548"/>
      <c r="B5" s="549"/>
      <c r="C5" s="550"/>
      <c r="D5" s="548"/>
      <c r="E5" s="551"/>
      <c r="F5" s="551"/>
      <c r="G5" s="551"/>
      <c r="H5" s="551"/>
      <c r="I5" s="552"/>
      <c r="J5" s="552"/>
    </row>
    <row r="6" spans="1:10" s="349" customFormat="1" ht="81" customHeight="1">
      <c r="A6" s="406" t="s">
        <v>0</v>
      </c>
      <c r="B6" s="406" t="s">
        <v>211</v>
      </c>
      <c r="C6" s="406" t="s">
        <v>104</v>
      </c>
      <c r="D6" s="383" t="s">
        <v>701</v>
      </c>
      <c r="E6" s="383" t="s">
        <v>695</v>
      </c>
      <c r="F6" s="383" t="s">
        <v>696</v>
      </c>
      <c r="G6" s="383" t="s">
        <v>697</v>
      </c>
      <c r="H6" s="383" t="s">
        <v>698</v>
      </c>
      <c r="I6" s="383" t="s">
        <v>699</v>
      </c>
      <c r="J6" s="383" t="s">
        <v>700</v>
      </c>
    </row>
    <row r="7" spans="1:10" ht="29.25" customHeight="1">
      <c r="A7" s="386">
        <v>1</v>
      </c>
      <c r="B7" s="384" t="s">
        <v>216</v>
      </c>
      <c r="C7" s="409" t="s">
        <v>6</v>
      </c>
      <c r="D7" s="414"/>
      <c r="E7" s="425"/>
      <c r="F7" s="425"/>
      <c r="G7" s="423"/>
      <c r="H7" s="423"/>
      <c r="I7" s="423"/>
      <c r="J7" s="423"/>
    </row>
    <row r="8" spans="1:10" s="329" customFormat="1" ht="29.25" customHeight="1">
      <c r="A8" s="386">
        <v>2</v>
      </c>
      <c r="B8" s="384" t="s">
        <v>217</v>
      </c>
      <c r="C8" s="409" t="s">
        <v>293</v>
      </c>
      <c r="D8" s="529"/>
      <c r="E8" s="425"/>
      <c r="F8" s="425"/>
      <c r="G8" s="425"/>
      <c r="H8" s="425"/>
      <c r="I8" s="425"/>
      <c r="J8" s="425"/>
    </row>
    <row r="9" spans="1:10" s="329" customFormat="1" ht="29.25" customHeight="1">
      <c r="A9" s="386">
        <v>3</v>
      </c>
      <c r="B9" s="387" t="s">
        <v>218</v>
      </c>
      <c r="C9" s="383"/>
      <c r="D9" s="414"/>
      <c r="E9" s="415"/>
      <c r="F9" s="425"/>
      <c r="G9" s="425"/>
      <c r="H9" s="425"/>
      <c r="I9" s="425"/>
      <c r="J9" s="425"/>
    </row>
    <row r="10" spans="1:22" ht="26.25" customHeight="1">
      <c r="A10" s="389"/>
      <c r="B10" s="392" t="s">
        <v>219</v>
      </c>
      <c r="C10" s="409" t="s">
        <v>477</v>
      </c>
      <c r="D10" s="731">
        <f>SUM(D11:D12)</f>
        <v>140.73000000000002</v>
      </c>
      <c r="E10" s="731">
        <f aca="true" t="shared" si="0" ref="E10:J10">SUM(E11:E12)</f>
        <v>0</v>
      </c>
      <c r="F10" s="731">
        <f t="shared" si="0"/>
        <v>0</v>
      </c>
      <c r="G10" s="731">
        <f t="shared" si="0"/>
        <v>0</v>
      </c>
      <c r="H10" s="731">
        <f t="shared" si="0"/>
        <v>0</v>
      </c>
      <c r="I10" s="731">
        <f t="shared" si="0"/>
        <v>0</v>
      </c>
      <c r="J10" s="731">
        <f t="shared" si="0"/>
        <v>0</v>
      </c>
      <c r="K10" s="354"/>
      <c r="M10" s="352"/>
      <c r="N10" s="354"/>
      <c r="P10" s="352"/>
      <c r="Q10" s="354"/>
      <c r="S10" s="352"/>
      <c r="T10" s="354"/>
      <c r="V10" s="352"/>
    </row>
    <row r="11" spans="1:20" ht="26.25" customHeight="1">
      <c r="A11" s="389"/>
      <c r="B11" s="392" t="s">
        <v>220</v>
      </c>
      <c r="C11" s="409" t="s">
        <v>477</v>
      </c>
      <c r="D11" s="731">
        <v>35.55</v>
      </c>
      <c r="E11" s="731"/>
      <c r="F11" s="731"/>
      <c r="G11" s="731"/>
      <c r="H11" s="731"/>
      <c r="I11" s="731"/>
      <c r="J11" s="731"/>
      <c r="K11" s="355"/>
      <c r="M11" s="352"/>
      <c r="N11" s="354"/>
      <c r="P11" s="352"/>
      <c r="Q11" s="354"/>
      <c r="S11" s="352"/>
      <c r="T11" s="354"/>
    </row>
    <row r="12" spans="1:22" ht="26.25" customHeight="1">
      <c r="A12" s="389"/>
      <c r="B12" s="392" t="s">
        <v>221</v>
      </c>
      <c r="C12" s="409" t="s">
        <v>477</v>
      </c>
      <c r="D12" s="731">
        <v>105.18</v>
      </c>
      <c r="E12" s="731"/>
      <c r="F12" s="731"/>
      <c r="G12" s="731"/>
      <c r="H12" s="731"/>
      <c r="I12" s="731"/>
      <c r="J12" s="731"/>
      <c r="K12" s="354"/>
      <c r="M12" s="352"/>
      <c r="N12" s="354"/>
      <c r="P12" s="352"/>
      <c r="Q12" s="354"/>
      <c r="S12" s="352"/>
      <c r="T12" s="354"/>
      <c r="V12" s="352"/>
    </row>
    <row r="13" spans="1:20" ht="26.25" customHeight="1">
      <c r="A13" s="389"/>
      <c r="B13" s="392" t="s">
        <v>222</v>
      </c>
      <c r="C13" s="409" t="s">
        <v>477</v>
      </c>
      <c r="D13" s="731">
        <v>14.31</v>
      </c>
      <c r="E13" s="731"/>
      <c r="F13" s="731"/>
      <c r="G13" s="731"/>
      <c r="H13" s="731"/>
      <c r="I13" s="731"/>
      <c r="J13" s="731"/>
      <c r="K13" s="354"/>
      <c r="M13" s="352"/>
      <c r="N13" s="354"/>
      <c r="P13" s="352"/>
      <c r="Q13" s="354"/>
      <c r="S13" s="352"/>
      <c r="T13" s="354"/>
    </row>
    <row r="14" spans="1:22" ht="26.25" customHeight="1">
      <c r="A14" s="389"/>
      <c r="B14" s="392" t="s">
        <v>18</v>
      </c>
      <c r="C14" s="409" t="s">
        <v>229</v>
      </c>
      <c r="D14" s="731">
        <v>3.94</v>
      </c>
      <c r="E14" s="731"/>
      <c r="F14" s="731"/>
      <c r="G14" s="731"/>
      <c r="H14" s="731"/>
      <c r="I14" s="731"/>
      <c r="J14" s="731"/>
      <c r="K14" s="354"/>
      <c r="M14" s="352"/>
      <c r="N14" s="354"/>
      <c r="P14" s="352"/>
      <c r="Q14" s="354"/>
      <c r="S14" s="352"/>
      <c r="T14" s="354"/>
      <c r="V14" s="352"/>
    </row>
    <row r="15" spans="1:10" ht="26.25" customHeight="1">
      <c r="A15" s="389"/>
      <c r="B15" s="410" t="s">
        <v>223</v>
      </c>
      <c r="C15" s="409" t="s">
        <v>229</v>
      </c>
      <c r="D15" s="731"/>
      <c r="E15" s="731"/>
      <c r="F15" s="731"/>
      <c r="G15" s="731"/>
      <c r="H15" s="731"/>
      <c r="I15" s="731"/>
      <c r="J15" s="731"/>
    </row>
    <row r="16" spans="1:10" ht="31.5" customHeight="1">
      <c r="A16" s="389"/>
      <c r="B16" s="410" t="s">
        <v>224</v>
      </c>
      <c r="C16" s="409" t="s">
        <v>478</v>
      </c>
      <c r="D16" s="731"/>
      <c r="E16" s="731"/>
      <c r="F16" s="731"/>
      <c r="G16" s="731"/>
      <c r="H16" s="731"/>
      <c r="I16" s="731"/>
      <c r="J16" s="731"/>
    </row>
    <row r="17" spans="1:10" ht="33.75" customHeight="1">
      <c r="A17" s="389"/>
      <c r="B17" s="410" t="s">
        <v>225</v>
      </c>
      <c r="C17" s="409" t="s">
        <v>213</v>
      </c>
      <c r="D17" s="414"/>
      <c r="E17" s="415"/>
      <c r="F17" s="415"/>
      <c r="G17" s="415"/>
      <c r="H17" s="415"/>
      <c r="I17" s="415"/>
      <c r="J17" s="415"/>
    </row>
    <row r="18" spans="1:10" ht="30" customHeight="1">
      <c r="A18" s="389"/>
      <c r="B18" s="410" t="s">
        <v>226</v>
      </c>
      <c r="C18" s="409" t="s">
        <v>230</v>
      </c>
      <c r="D18" s="414"/>
      <c r="E18" s="412"/>
      <c r="F18" s="412"/>
      <c r="G18" s="412"/>
      <c r="H18" s="412"/>
      <c r="I18" s="412"/>
      <c r="J18" s="412"/>
    </row>
    <row r="19" spans="1:10" ht="30.75" customHeight="1">
      <c r="A19" s="389"/>
      <c r="B19" s="410" t="s">
        <v>227</v>
      </c>
      <c r="C19" s="409" t="s">
        <v>230</v>
      </c>
      <c r="D19" s="414"/>
      <c r="E19" s="412"/>
      <c r="F19" s="412"/>
      <c r="G19" s="412"/>
      <c r="H19" s="412"/>
      <c r="I19" s="412"/>
      <c r="J19" s="412"/>
    </row>
    <row r="20" spans="1:10" ht="16.5">
      <c r="A20" s="382"/>
      <c r="B20" s="395"/>
      <c r="C20" s="396"/>
      <c r="D20" s="531"/>
      <c r="E20" s="532"/>
      <c r="F20" s="532"/>
      <c r="G20" s="532"/>
      <c r="H20" s="532"/>
      <c r="I20" s="532"/>
      <c r="J20" s="532"/>
    </row>
    <row r="21" spans="1:10" ht="16.5">
      <c r="A21" s="382"/>
      <c r="B21" s="1770"/>
      <c r="C21" s="1770"/>
      <c r="D21" s="1770"/>
      <c r="E21" s="532"/>
      <c r="F21" s="532"/>
      <c r="G21" s="532"/>
      <c r="H21" s="532"/>
      <c r="I21" s="532"/>
      <c r="J21" s="532"/>
    </row>
    <row r="22" spans="1:22" ht="16.5">
      <c r="A22" s="382"/>
      <c r="B22" s="411"/>
      <c r="C22" s="396"/>
      <c r="D22" s="531"/>
      <c r="E22" s="553"/>
      <c r="F22" s="532"/>
      <c r="G22" s="532"/>
      <c r="H22" s="532"/>
      <c r="I22" s="532"/>
      <c r="J22" s="532"/>
      <c r="K22" s="354"/>
      <c r="M22" s="352"/>
      <c r="N22" s="354"/>
      <c r="P22" s="352"/>
      <c r="Q22" s="354"/>
      <c r="S22" s="352"/>
      <c r="T22" s="354"/>
      <c r="V22" s="352"/>
    </row>
    <row r="23" spans="1:10" ht="16.5">
      <c r="A23" s="382"/>
      <c r="B23" s="395"/>
      <c r="C23" s="396"/>
      <c r="D23" s="382"/>
      <c r="E23" s="528"/>
      <c r="F23" s="528"/>
      <c r="G23" s="528"/>
      <c r="H23" s="528"/>
      <c r="I23" s="528"/>
      <c r="J23" s="528"/>
    </row>
    <row r="24" spans="1:10" ht="16.5">
      <c r="A24" s="382"/>
      <c r="B24" s="395"/>
      <c r="C24" s="396"/>
      <c r="D24" s="382"/>
      <c r="E24" s="528"/>
      <c r="F24" s="528"/>
      <c r="G24" s="528"/>
      <c r="H24" s="528"/>
      <c r="I24" s="528"/>
      <c r="J24" s="528"/>
    </row>
    <row r="25" spans="1:10" ht="16.5">
      <c r="A25" s="382"/>
      <c r="B25" s="395"/>
      <c r="C25" s="396"/>
      <c r="D25" s="382"/>
      <c r="E25" s="528"/>
      <c r="F25" s="528"/>
      <c r="G25" s="528"/>
      <c r="H25" s="528"/>
      <c r="I25" s="528"/>
      <c r="J25" s="528"/>
    </row>
    <row r="26" spans="1:10" ht="16.5">
      <c r="A26" s="382"/>
      <c r="B26" s="395"/>
      <c r="C26" s="396"/>
      <c r="D26" s="382"/>
      <c r="E26" s="528"/>
      <c r="F26" s="528"/>
      <c r="G26" s="528"/>
      <c r="H26" s="528"/>
      <c r="I26" s="528"/>
      <c r="J26" s="528"/>
    </row>
    <row r="27" spans="1:10" ht="16.5">
      <c r="A27" s="382"/>
      <c r="B27" s="395"/>
      <c r="C27" s="396"/>
      <c r="D27" s="382"/>
      <c r="E27" s="528"/>
      <c r="F27" s="528"/>
      <c r="G27" s="528"/>
      <c r="H27" s="528"/>
      <c r="I27" s="528"/>
      <c r="J27" s="528"/>
    </row>
    <row r="28" spans="1:10" ht="16.5">
      <c r="A28" s="382"/>
      <c r="B28" s="395"/>
      <c r="C28" s="396"/>
      <c r="D28" s="382"/>
      <c r="E28" s="397"/>
      <c r="F28" s="397"/>
      <c r="G28" s="397"/>
      <c r="H28" s="397"/>
      <c r="I28" s="397"/>
      <c r="J28" s="397"/>
    </row>
    <row r="29" spans="1:10" ht="16.5">
      <c r="A29" s="382"/>
      <c r="B29" s="395"/>
      <c r="C29" s="396"/>
      <c r="D29" s="382"/>
      <c r="E29" s="397"/>
      <c r="F29" s="397"/>
      <c r="G29" s="397"/>
      <c r="H29" s="397"/>
      <c r="I29" s="397"/>
      <c r="J29" s="397"/>
    </row>
    <row r="30" spans="1:10" ht="16.5">
      <c r="A30" s="382"/>
      <c r="B30" s="395"/>
      <c r="C30" s="396"/>
      <c r="D30" s="382"/>
      <c r="E30" s="397"/>
      <c r="F30" s="397"/>
      <c r="G30" s="397"/>
      <c r="H30" s="397"/>
      <c r="I30" s="397"/>
      <c r="J30" s="397"/>
    </row>
    <row r="31" spans="1:10" ht="16.5">
      <c r="A31" s="382"/>
      <c r="B31" s="395"/>
      <c r="C31" s="396"/>
      <c r="D31" s="382"/>
      <c r="E31" s="397"/>
      <c r="F31" s="397"/>
      <c r="G31" s="397"/>
      <c r="H31" s="397"/>
      <c r="I31" s="397"/>
      <c r="J31" s="397"/>
    </row>
    <row r="32" spans="1:10" ht="16.5">
      <c r="A32" s="382"/>
      <c r="B32" s="395"/>
      <c r="C32" s="396"/>
      <c r="D32" s="382"/>
      <c r="E32" s="397"/>
      <c r="F32" s="397"/>
      <c r="G32" s="397"/>
      <c r="H32" s="397"/>
      <c r="I32" s="397"/>
      <c r="J32" s="397"/>
    </row>
    <row r="33" spans="1:10" ht="16.5">
      <c r="A33" s="382"/>
      <c r="B33" s="395"/>
      <c r="C33" s="396"/>
      <c r="D33" s="382"/>
      <c r="E33" s="397"/>
      <c r="F33" s="397"/>
      <c r="G33" s="397"/>
      <c r="H33" s="397"/>
      <c r="I33" s="397"/>
      <c r="J33" s="397"/>
    </row>
    <row r="34" spans="1:10" ht="16.5">
      <c r="A34" s="382"/>
      <c r="B34" s="395"/>
      <c r="C34" s="396"/>
      <c r="D34" s="382"/>
      <c r="E34" s="397"/>
      <c r="F34" s="397"/>
      <c r="G34" s="397"/>
      <c r="H34" s="397"/>
      <c r="I34" s="397"/>
      <c r="J34" s="397"/>
    </row>
    <row r="35" spans="1:10" ht="16.5">
      <c r="A35" s="382"/>
      <c r="B35" s="395"/>
      <c r="C35" s="396"/>
      <c r="D35" s="382"/>
      <c r="E35" s="397"/>
      <c r="F35" s="397"/>
      <c r="G35" s="397"/>
      <c r="H35" s="397"/>
      <c r="I35" s="397"/>
      <c r="J35" s="397"/>
    </row>
    <row r="36" spans="1:10" ht="16.5">
      <c r="A36" s="382"/>
      <c r="B36" s="395"/>
      <c r="C36" s="396"/>
      <c r="D36" s="382"/>
      <c r="E36" s="397"/>
      <c r="F36" s="397"/>
      <c r="G36" s="397"/>
      <c r="H36" s="397"/>
      <c r="I36" s="397"/>
      <c r="J36" s="397"/>
    </row>
    <row r="37" spans="1:10" ht="16.5">
      <c r="A37" s="382"/>
      <c r="B37" s="395"/>
      <c r="C37" s="396"/>
      <c r="D37" s="382"/>
      <c r="E37" s="397"/>
      <c r="F37" s="397"/>
      <c r="G37" s="397"/>
      <c r="H37" s="397"/>
      <c r="I37" s="397"/>
      <c r="J37" s="397"/>
    </row>
    <row r="38" spans="1:10" ht="16.5">
      <c r="A38" s="382"/>
      <c r="B38" s="395"/>
      <c r="C38" s="396"/>
      <c r="D38" s="382"/>
      <c r="E38" s="397"/>
      <c r="F38" s="397"/>
      <c r="G38" s="397"/>
      <c r="H38" s="397"/>
      <c r="I38" s="397"/>
      <c r="J38" s="397"/>
    </row>
    <row r="39" spans="1:10" ht="16.5">
      <c r="A39" s="382"/>
      <c r="B39" s="395"/>
      <c r="C39" s="396"/>
      <c r="D39" s="382"/>
      <c r="E39" s="397"/>
      <c r="F39" s="397"/>
      <c r="G39" s="397"/>
      <c r="H39" s="397"/>
      <c r="I39" s="397"/>
      <c r="J39" s="397"/>
    </row>
    <row r="40" spans="1:10" ht="16.5">
      <c r="A40" s="382"/>
      <c r="B40" s="395"/>
      <c r="C40" s="396"/>
      <c r="D40" s="382"/>
      <c r="E40" s="397"/>
      <c r="F40" s="397"/>
      <c r="G40" s="397"/>
      <c r="H40" s="397"/>
      <c r="I40" s="397"/>
      <c r="J40" s="397"/>
    </row>
    <row r="41" spans="1:10" ht="16.5">
      <c r="A41" s="382"/>
      <c r="B41" s="395"/>
      <c r="C41" s="396"/>
      <c r="D41" s="382"/>
      <c r="E41" s="397"/>
      <c r="F41" s="397"/>
      <c r="G41" s="397"/>
      <c r="H41" s="397"/>
      <c r="I41" s="397"/>
      <c r="J41" s="397"/>
    </row>
    <row r="42" spans="1:10" ht="16.5">
      <c r="A42" s="382"/>
      <c r="B42" s="395"/>
      <c r="C42" s="396"/>
      <c r="D42" s="382"/>
      <c r="E42" s="397"/>
      <c r="F42" s="397"/>
      <c r="G42" s="397"/>
      <c r="H42" s="397"/>
      <c r="I42" s="397"/>
      <c r="J42" s="397"/>
    </row>
    <row r="43" spans="1:10" ht="16.5">
      <c r="A43" s="382"/>
      <c r="B43" s="395"/>
      <c r="C43" s="396"/>
      <c r="D43" s="382"/>
      <c r="E43" s="397"/>
      <c r="F43" s="397"/>
      <c r="G43" s="397"/>
      <c r="H43" s="397"/>
      <c r="I43" s="397"/>
      <c r="J43" s="397"/>
    </row>
    <row r="44" spans="1:10" ht="16.5">
      <c r="A44" s="382"/>
      <c r="B44" s="395"/>
      <c r="C44" s="396"/>
      <c r="D44" s="382"/>
      <c r="E44" s="397"/>
      <c r="F44" s="397"/>
      <c r="G44" s="397"/>
      <c r="H44" s="397"/>
      <c r="I44" s="397"/>
      <c r="J44" s="397"/>
    </row>
    <row r="45" spans="1:10" ht="16.5">
      <c r="A45" s="382"/>
      <c r="B45" s="395"/>
      <c r="C45" s="396"/>
      <c r="D45" s="382"/>
      <c r="E45" s="397"/>
      <c r="F45" s="397"/>
      <c r="G45" s="397"/>
      <c r="H45" s="397"/>
      <c r="I45" s="397"/>
      <c r="J45" s="397"/>
    </row>
    <row r="46" spans="1:10" ht="16.5">
      <c r="A46" s="382"/>
      <c r="B46" s="395"/>
      <c r="C46" s="396"/>
      <c r="D46" s="382"/>
      <c r="E46" s="397"/>
      <c r="F46" s="397"/>
      <c r="G46" s="397"/>
      <c r="H46" s="397"/>
      <c r="I46" s="397"/>
      <c r="J46" s="397"/>
    </row>
    <row r="47" spans="1:10" ht="16.5">
      <c r="A47" s="382"/>
      <c r="B47" s="395"/>
      <c r="C47" s="396"/>
      <c r="D47" s="382"/>
      <c r="E47" s="397"/>
      <c r="F47" s="397"/>
      <c r="G47" s="397"/>
      <c r="H47" s="397"/>
      <c r="I47" s="397"/>
      <c r="J47" s="397"/>
    </row>
    <row r="48" spans="1:10" ht="16.5">
      <c r="A48" s="382"/>
      <c r="B48" s="395"/>
      <c r="C48" s="396"/>
      <c r="D48" s="382"/>
      <c r="E48" s="397"/>
      <c r="F48" s="397"/>
      <c r="G48" s="397"/>
      <c r="H48" s="397"/>
      <c r="I48" s="397"/>
      <c r="J48" s="397"/>
    </row>
    <row r="49" spans="1:10" ht="16.5">
      <c r="A49" s="382"/>
      <c r="B49" s="395"/>
      <c r="C49" s="396"/>
      <c r="D49" s="382"/>
      <c r="E49" s="397"/>
      <c r="F49" s="397"/>
      <c r="G49" s="397"/>
      <c r="H49" s="397"/>
      <c r="I49" s="397"/>
      <c r="J49" s="397"/>
    </row>
    <row r="50" spans="1:10" ht="16.5">
      <c r="A50" s="382"/>
      <c r="B50" s="395"/>
      <c r="C50" s="396"/>
      <c r="D50" s="382"/>
      <c r="E50" s="397"/>
      <c r="F50" s="397"/>
      <c r="G50" s="397"/>
      <c r="H50" s="397"/>
      <c r="I50" s="397"/>
      <c r="J50" s="397"/>
    </row>
    <row r="51" spans="1:10" ht="16.5">
      <c r="A51" s="382"/>
      <c r="B51" s="395"/>
      <c r="C51" s="396"/>
      <c r="D51" s="382"/>
      <c r="E51" s="397"/>
      <c r="F51" s="397"/>
      <c r="G51" s="397"/>
      <c r="H51" s="397"/>
      <c r="I51" s="397"/>
      <c r="J51" s="397"/>
    </row>
    <row r="52" spans="1:10" ht="16.5">
      <c r="A52" s="382"/>
      <c r="B52" s="395"/>
      <c r="C52" s="396"/>
      <c r="D52" s="382"/>
      <c r="E52" s="397"/>
      <c r="F52" s="397"/>
      <c r="G52" s="397"/>
      <c r="H52" s="397"/>
      <c r="I52" s="397"/>
      <c r="J52" s="397"/>
    </row>
    <row r="53" spans="1:10" ht="16.5">
      <c r="A53" s="382"/>
      <c r="B53" s="395"/>
      <c r="C53" s="396"/>
      <c r="D53" s="382"/>
      <c r="E53" s="397"/>
      <c r="F53" s="397"/>
      <c r="G53" s="397"/>
      <c r="H53" s="397"/>
      <c r="I53" s="397"/>
      <c r="J53" s="397"/>
    </row>
    <row r="54" spans="1:10" ht="16.5">
      <c r="A54" s="382"/>
      <c r="B54" s="395"/>
      <c r="C54" s="396"/>
      <c r="D54" s="382"/>
      <c r="E54" s="397"/>
      <c r="F54" s="397"/>
      <c r="G54" s="397"/>
      <c r="H54" s="397"/>
      <c r="I54" s="397"/>
      <c r="J54" s="397"/>
    </row>
    <row r="55" spans="1:10" ht="16.5">
      <c r="A55" s="382"/>
      <c r="B55" s="395"/>
      <c r="C55" s="396"/>
      <c r="D55" s="382"/>
      <c r="E55" s="397"/>
      <c r="F55" s="397"/>
      <c r="G55" s="397"/>
      <c r="H55" s="397"/>
      <c r="I55" s="397"/>
      <c r="J55" s="397"/>
    </row>
    <row r="56" spans="1:10" ht="16.5">
      <c r="A56" s="382"/>
      <c r="B56" s="395"/>
      <c r="C56" s="396"/>
      <c r="D56" s="382"/>
      <c r="E56" s="397"/>
      <c r="F56" s="397"/>
      <c r="G56" s="397"/>
      <c r="H56" s="397"/>
      <c r="I56" s="397"/>
      <c r="J56" s="397"/>
    </row>
    <row r="57" spans="1:10" ht="16.5">
      <c r="A57" s="382"/>
      <c r="B57" s="395"/>
      <c r="C57" s="396"/>
      <c r="D57" s="382"/>
      <c r="E57" s="397"/>
      <c r="F57" s="397"/>
      <c r="G57" s="397"/>
      <c r="H57" s="397"/>
      <c r="I57" s="397"/>
      <c r="J57" s="397"/>
    </row>
    <row r="58" spans="1:10" ht="16.5">
      <c r="A58" s="382"/>
      <c r="B58" s="395"/>
      <c r="C58" s="396"/>
      <c r="D58" s="382"/>
      <c r="E58" s="397"/>
      <c r="F58" s="397"/>
      <c r="G58" s="397"/>
      <c r="H58" s="397"/>
      <c r="I58" s="397"/>
      <c r="J58" s="397"/>
    </row>
    <row r="59" spans="1:10" ht="16.5">
      <c r="A59" s="382"/>
      <c r="B59" s="395"/>
      <c r="C59" s="396"/>
      <c r="D59" s="382"/>
      <c r="E59" s="397"/>
      <c r="F59" s="397"/>
      <c r="G59" s="397"/>
      <c r="H59" s="397"/>
      <c r="I59" s="397"/>
      <c r="J59" s="397"/>
    </row>
    <row r="60" spans="1:10" ht="16.5">
      <c r="A60" s="382"/>
      <c r="B60" s="395"/>
      <c r="C60" s="396"/>
      <c r="D60" s="382"/>
      <c r="E60" s="397"/>
      <c r="F60" s="397"/>
      <c r="G60" s="397"/>
      <c r="H60" s="397"/>
      <c r="I60" s="397"/>
      <c r="J60" s="397"/>
    </row>
    <row r="61" spans="1:10" ht="16.5">
      <c r="A61" s="382"/>
      <c r="B61" s="395"/>
      <c r="C61" s="396"/>
      <c r="D61" s="382"/>
      <c r="E61" s="397"/>
      <c r="F61" s="397"/>
      <c r="G61" s="397"/>
      <c r="H61" s="397"/>
      <c r="I61" s="397"/>
      <c r="J61" s="397"/>
    </row>
    <row r="62" spans="1:10" ht="16.5">
      <c r="A62" s="382"/>
      <c r="B62" s="395"/>
      <c r="C62" s="396"/>
      <c r="D62" s="382"/>
      <c r="E62" s="397"/>
      <c r="F62" s="397"/>
      <c r="G62" s="397"/>
      <c r="H62" s="397"/>
      <c r="I62" s="397"/>
      <c r="J62" s="397"/>
    </row>
    <row r="63" spans="1:10" ht="16.5">
      <c r="A63" s="382"/>
      <c r="B63" s="395"/>
      <c r="C63" s="396"/>
      <c r="D63" s="382"/>
      <c r="E63" s="397"/>
      <c r="F63" s="397"/>
      <c r="G63" s="397"/>
      <c r="H63" s="397"/>
      <c r="I63" s="397"/>
      <c r="J63" s="397"/>
    </row>
    <row r="64" spans="1:10" ht="16.5">
      <c r="A64" s="382"/>
      <c r="B64" s="395"/>
      <c r="C64" s="396"/>
      <c r="D64" s="382"/>
      <c r="E64" s="397"/>
      <c r="F64" s="397"/>
      <c r="G64" s="397"/>
      <c r="H64" s="397"/>
      <c r="I64" s="397"/>
      <c r="J64" s="397"/>
    </row>
    <row r="65" spans="1:10" ht="16.5">
      <c r="A65" s="382"/>
      <c r="B65" s="395"/>
      <c r="C65" s="396"/>
      <c r="D65" s="382"/>
      <c r="E65" s="397"/>
      <c r="F65" s="397"/>
      <c r="G65" s="397"/>
      <c r="H65" s="397"/>
      <c r="I65" s="397"/>
      <c r="J65" s="397"/>
    </row>
    <row r="66" spans="1:10" ht="16.5">
      <c r="A66" s="382"/>
      <c r="B66" s="395"/>
      <c r="C66" s="396"/>
      <c r="D66" s="382"/>
      <c r="E66" s="397"/>
      <c r="F66" s="397"/>
      <c r="G66" s="397"/>
      <c r="H66" s="397"/>
      <c r="I66" s="397"/>
      <c r="J66" s="397"/>
    </row>
    <row r="67" spans="1:10" ht="16.5">
      <c r="A67" s="382"/>
      <c r="B67" s="395"/>
      <c r="C67" s="396"/>
      <c r="D67" s="382"/>
      <c r="E67" s="397"/>
      <c r="F67" s="397"/>
      <c r="G67" s="397"/>
      <c r="H67" s="397"/>
      <c r="I67" s="397"/>
      <c r="J67" s="397"/>
    </row>
    <row r="68" spans="1:10" ht="16.5">
      <c r="A68" s="382"/>
      <c r="B68" s="395"/>
      <c r="C68" s="396"/>
      <c r="D68" s="382"/>
      <c r="E68" s="397"/>
      <c r="F68" s="397"/>
      <c r="G68" s="397"/>
      <c r="H68" s="397"/>
      <c r="I68" s="397"/>
      <c r="J68" s="397"/>
    </row>
    <row r="69" spans="1:10" ht="16.5">
      <c r="A69" s="382"/>
      <c r="B69" s="395"/>
      <c r="C69" s="396"/>
      <c r="D69" s="382"/>
      <c r="E69" s="397"/>
      <c r="F69" s="397"/>
      <c r="G69" s="397"/>
      <c r="H69" s="397"/>
      <c r="I69" s="397"/>
      <c r="J69" s="397"/>
    </row>
    <row r="70" spans="1:10" ht="16.5">
      <c r="A70" s="382"/>
      <c r="B70" s="395"/>
      <c r="C70" s="396"/>
      <c r="D70" s="382"/>
      <c r="E70" s="397"/>
      <c r="F70" s="397"/>
      <c r="G70" s="397"/>
      <c r="H70" s="397"/>
      <c r="I70" s="397"/>
      <c r="J70" s="397"/>
    </row>
    <row r="71" spans="1:10" ht="16.5">
      <c r="A71" s="382"/>
      <c r="B71" s="395"/>
      <c r="C71" s="396"/>
      <c r="D71" s="382"/>
      <c r="E71" s="397"/>
      <c r="F71" s="397"/>
      <c r="G71" s="397"/>
      <c r="H71" s="397"/>
      <c r="I71" s="397"/>
      <c r="J71" s="397"/>
    </row>
    <row r="72" spans="1:10" ht="16.5">
      <c r="A72" s="382"/>
      <c r="B72" s="395"/>
      <c r="C72" s="396"/>
      <c r="D72" s="382"/>
      <c r="E72" s="397"/>
      <c r="F72" s="397"/>
      <c r="G72" s="397"/>
      <c r="H72" s="397"/>
      <c r="I72" s="397"/>
      <c r="J72" s="397"/>
    </row>
    <row r="73" spans="1:10" ht="16.5">
      <c r="A73" s="382"/>
      <c r="B73" s="395"/>
      <c r="C73" s="396"/>
      <c r="D73" s="382"/>
      <c r="E73" s="397"/>
      <c r="F73" s="397"/>
      <c r="G73" s="397"/>
      <c r="H73" s="397"/>
      <c r="I73" s="397"/>
      <c r="J73" s="397"/>
    </row>
    <row r="74" spans="1:10" ht="16.5">
      <c r="A74" s="382"/>
      <c r="B74" s="395"/>
      <c r="C74" s="396"/>
      <c r="D74" s="382"/>
      <c r="E74" s="397"/>
      <c r="F74" s="397"/>
      <c r="G74" s="397"/>
      <c r="H74" s="397"/>
      <c r="I74" s="397"/>
      <c r="J74" s="397"/>
    </row>
    <row r="75" spans="1:10" ht="16.5">
      <c r="A75" s="382"/>
      <c r="B75" s="395"/>
      <c r="C75" s="396"/>
      <c r="D75" s="382"/>
      <c r="E75" s="397"/>
      <c r="F75" s="397"/>
      <c r="G75" s="397"/>
      <c r="H75" s="397"/>
      <c r="I75" s="397"/>
      <c r="J75" s="397"/>
    </row>
    <row r="76" spans="1:10" ht="16.5">
      <c r="A76" s="382"/>
      <c r="B76" s="395"/>
      <c r="C76" s="396"/>
      <c r="D76" s="382"/>
      <c r="E76" s="397"/>
      <c r="F76" s="397"/>
      <c r="G76" s="397"/>
      <c r="H76" s="397"/>
      <c r="I76" s="397"/>
      <c r="J76" s="397"/>
    </row>
    <row r="77" spans="1:10" ht="16.5">
      <c r="A77" s="382"/>
      <c r="B77" s="395"/>
      <c r="C77" s="396"/>
      <c r="D77" s="382"/>
      <c r="E77" s="397"/>
      <c r="F77" s="397"/>
      <c r="G77" s="397"/>
      <c r="H77" s="397"/>
      <c r="I77" s="397"/>
      <c r="J77" s="397"/>
    </row>
    <row r="78" spans="1:10" ht="16.5">
      <c r="A78" s="382"/>
      <c r="B78" s="395"/>
      <c r="C78" s="396"/>
      <c r="D78" s="382"/>
      <c r="E78" s="397"/>
      <c r="F78" s="397"/>
      <c r="G78" s="397"/>
      <c r="H78" s="397"/>
      <c r="I78" s="397"/>
      <c r="J78" s="397"/>
    </row>
    <row r="79" spans="1:10" ht="16.5">
      <c r="A79" s="382"/>
      <c r="B79" s="395"/>
      <c r="C79" s="396"/>
      <c r="D79" s="382"/>
      <c r="E79" s="397"/>
      <c r="F79" s="397"/>
      <c r="G79" s="397"/>
      <c r="H79" s="397"/>
      <c r="I79" s="397"/>
      <c r="J79" s="397"/>
    </row>
    <row r="80" spans="1:10" ht="16.5">
      <c r="A80" s="382"/>
      <c r="B80" s="395"/>
      <c r="C80" s="396"/>
      <c r="D80" s="382"/>
      <c r="E80" s="397"/>
      <c r="F80" s="397"/>
      <c r="G80" s="397"/>
      <c r="H80" s="397"/>
      <c r="I80" s="397"/>
      <c r="J80" s="397"/>
    </row>
    <row r="81" spans="1:10" ht="16.5">
      <c r="A81" s="382"/>
      <c r="B81" s="395"/>
      <c r="C81" s="396"/>
      <c r="D81" s="382"/>
      <c r="E81" s="397"/>
      <c r="F81" s="397"/>
      <c r="G81" s="397"/>
      <c r="H81" s="397"/>
      <c r="I81" s="397"/>
      <c r="J81" s="397"/>
    </row>
    <row r="82" spans="1:10" ht="16.5">
      <c r="A82" s="382"/>
      <c r="B82" s="395"/>
      <c r="C82" s="396"/>
      <c r="D82" s="382"/>
      <c r="E82" s="397"/>
      <c r="F82" s="397"/>
      <c r="G82" s="397"/>
      <c r="H82" s="397"/>
      <c r="I82" s="397"/>
      <c r="J82" s="397"/>
    </row>
    <row r="83" spans="1:10" ht="16.5">
      <c r="A83" s="382"/>
      <c r="B83" s="395"/>
      <c r="C83" s="396"/>
      <c r="D83" s="382"/>
      <c r="E83" s="397"/>
      <c r="F83" s="397"/>
      <c r="G83" s="397"/>
      <c r="H83" s="397"/>
      <c r="I83" s="397"/>
      <c r="J83" s="397"/>
    </row>
    <row r="84" spans="1:10" ht="16.5">
      <c r="A84" s="382"/>
      <c r="B84" s="395"/>
      <c r="C84" s="396"/>
      <c r="D84" s="382"/>
      <c r="E84" s="397"/>
      <c r="F84" s="397"/>
      <c r="G84" s="397"/>
      <c r="H84" s="397"/>
      <c r="I84" s="397"/>
      <c r="J84" s="397"/>
    </row>
    <row r="85" spans="1:10" ht="16.5">
      <c r="A85" s="382"/>
      <c r="B85" s="395"/>
      <c r="C85" s="396"/>
      <c r="D85" s="382"/>
      <c r="E85" s="397"/>
      <c r="F85" s="397"/>
      <c r="G85" s="397"/>
      <c r="H85" s="397"/>
      <c r="I85" s="397"/>
      <c r="J85" s="397"/>
    </row>
    <row r="86" spans="1:10" ht="16.5">
      <c r="A86" s="382"/>
      <c r="B86" s="395"/>
      <c r="C86" s="396"/>
      <c r="D86" s="382"/>
      <c r="E86" s="397"/>
      <c r="F86" s="397"/>
      <c r="G86" s="397"/>
      <c r="H86" s="397"/>
      <c r="I86" s="397"/>
      <c r="J86" s="397"/>
    </row>
    <row r="87" spans="1:10" ht="16.5">
      <c r="A87" s="382"/>
      <c r="B87" s="395"/>
      <c r="C87" s="396"/>
      <c r="D87" s="382"/>
      <c r="E87" s="397"/>
      <c r="F87" s="397"/>
      <c r="G87" s="397"/>
      <c r="H87" s="397"/>
      <c r="I87" s="397"/>
      <c r="J87" s="397"/>
    </row>
    <row r="88" spans="1:10" ht="16.5">
      <c r="A88" s="382"/>
      <c r="B88" s="395"/>
      <c r="C88" s="396"/>
      <c r="D88" s="382"/>
      <c r="E88" s="397"/>
      <c r="F88" s="397"/>
      <c r="G88" s="397"/>
      <c r="H88" s="397"/>
      <c r="I88" s="397"/>
      <c r="J88" s="397"/>
    </row>
    <row r="89" spans="1:10" ht="16.5">
      <c r="A89" s="382"/>
      <c r="B89" s="395"/>
      <c r="C89" s="396"/>
      <c r="D89" s="382"/>
      <c r="E89" s="397"/>
      <c r="F89" s="397"/>
      <c r="G89" s="397"/>
      <c r="H89" s="397"/>
      <c r="I89" s="397"/>
      <c r="J89" s="397"/>
    </row>
    <row r="90" spans="1:10" ht="16.5">
      <c r="A90" s="382"/>
      <c r="B90" s="395"/>
      <c r="C90" s="396"/>
      <c r="D90" s="382"/>
      <c r="E90" s="397"/>
      <c r="F90" s="397"/>
      <c r="G90" s="397"/>
      <c r="H90" s="397"/>
      <c r="I90" s="397"/>
      <c r="J90" s="397"/>
    </row>
    <row r="91" spans="1:10" ht="16.5">
      <c r="A91" s="382"/>
      <c r="B91" s="395"/>
      <c r="C91" s="396"/>
      <c r="D91" s="382"/>
      <c r="E91" s="397"/>
      <c r="F91" s="397"/>
      <c r="G91" s="397"/>
      <c r="H91" s="397"/>
      <c r="I91" s="397"/>
      <c r="J91" s="397"/>
    </row>
    <row r="92" spans="1:10" ht="16.5">
      <c r="A92" s="382"/>
      <c r="B92" s="395"/>
      <c r="C92" s="396"/>
      <c r="D92" s="382"/>
      <c r="E92" s="397"/>
      <c r="F92" s="397"/>
      <c r="G92" s="397"/>
      <c r="H92" s="397"/>
      <c r="I92" s="397"/>
      <c r="J92" s="397"/>
    </row>
    <row r="93" spans="1:10" ht="16.5">
      <c r="A93" s="382"/>
      <c r="B93" s="395"/>
      <c r="C93" s="396"/>
      <c r="D93" s="382"/>
      <c r="E93" s="397"/>
      <c r="F93" s="397"/>
      <c r="G93" s="397"/>
      <c r="H93" s="397"/>
      <c r="I93" s="397"/>
      <c r="J93" s="397"/>
    </row>
    <row r="94" spans="1:10" ht="16.5">
      <c r="A94" s="382"/>
      <c r="B94" s="395"/>
      <c r="C94" s="396"/>
      <c r="D94" s="382"/>
      <c r="E94" s="397"/>
      <c r="F94" s="397"/>
      <c r="G94" s="397"/>
      <c r="H94" s="397"/>
      <c r="I94" s="397"/>
      <c r="J94" s="397"/>
    </row>
    <row r="95" spans="1:10" ht="16.5">
      <c r="A95" s="382"/>
      <c r="B95" s="395"/>
      <c r="C95" s="396"/>
      <c r="D95" s="382"/>
      <c r="E95" s="397"/>
      <c r="F95" s="397"/>
      <c r="G95" s="397"/>
      <c r="H95" s="397"/>
      <c r="I95" s="397"/>
      <c r="J95" s="397"/>
    </row>
    <row r="96" spans="1:10" ht="16.5">
      <c r="A96" s="382"/>
      <c r="B96" s="395"/>
      <c r="C96" s="396"/>
      <c r="D96" s="382"/>
      <c r="E96" s="397"/>
      <c r="F96" s="397"/>
      <c r="G96" s="397"/>
      <c r="H96" s="397"/>
      <c r="I96" s="397"/>
      <c r="J96" s="397"/>
    </row>
    <row r="97" spans="1:10" ht="16.5">
      <c r="A97" s="382"/>
      <c r="B97" s="395"/>
      <c r="C97" s="396"/>
      <c r="D97" s="382"/>
      <c r="E97" s="397"/>
      <c r="F97" s="397"/>
      <c r="G97" s="397"/>
      <c r="H97" s="397"/>
      <c r="I97" s="397"/>
      <c r="J97" s="397"/>
    </row>
    <row r="98" spans="1:10" ht="16.5">
      <c r="A98" s="382"/>
      <c r="B98" s="395"/>
      <c r="C98" s="396"/>
      <c r="D98" s="382"/>
      <c r="E98" s="397"/>
      <c r="F98" s="397"/>
      <c r="G98" s="397"/>
      <c r="H98" s="397"/>
      <c r="I98" s="397"/>
      <c r="J98" s="397"/>
    </row>
    <row r="99" spans="1:10" ht="16.5">
      <c r="A99" s="382"/>
      <c r="B99" s="395"/>
      <c r="C99" s="396"/>
      <c r="D99" s="382"/>
      <c r="E99" s="397"/>
      <c r="F99" s="397"/>
      <c r="G99" s="397"/>
      <c r="H99" s="397"/>
      <c r="I99" s="397"/>
      <c r="J99" s="397"/>
    </row>
    <row r="100" spans="1:10" ht="16.5">
      <c r="A100" s="382"/>
      <c r="B100" s="395"/>
      <c r="C100" s="396"/>
      <c r="D100" s="382"/>
      <c r="E100" s="397"/>
      <c r="F100" s="397"/>
      <c r="G100" s="397"/>
      <c r="H100" s="397"/>
      <c r="I100" s="397"/>
      <c r="J100" s="397"/>
    </row>
    <row r="101" spans="1:10" ht="16.5">
      <c r="A101" s="382"/>
      <c r="B101" s="395"/>
      <c r="C101" s="396"/>
      <c r="D101" s="382"/>
      <c r="E101" s="397"/>
      <c r="F101" s="397"/>
      <c r="G101" s="397"/>
      <c r="H101" s="397"/>
      <c r="I101" s="397"/>
      <c r="J101" s="397"/>
    </row>
    <row r="102" spans="1:10" ht="16.5">
      <c r="A102" s="382"/>
      <c r="B102" s="395"/>
      <c r="C102" s="396"/>
      <c r="D102" s="382"/>
      <c r="E102" s="397"/>
      <c r="F102" s="397"/>
      <c r="G102" s="397"/>
      <c r="H102" s="397"/>
      <c r="I102" s="397"/>
      <c r="J102" s="397"/>
    </row>
    <row r="103" spans="1:10" ht="16.5">
      <c r="A103" s="382"/>
      <c r="B103" s="395"/>
      <c r="C103" s="396"/>
      <c r="D103" s="382"/>
      <c r="E103" s="397"/>
      <c r="F103" s="397"/>
      <c r="G103" s="397"/>
      <c r="H103" s="397"/>
      <c r="I103" s="397"/>
      <c r="J103" s="397"/>
    </row>
    <row r="104" spans="1:10" ht="16.5">
      <c r="A104" s="382"/>
      <c r="B104" s="395"/>
      <c r="C104" s="396"/>
      <c r="D104" s="382"/>
      <c r="E104" s="397"/>
      <c r="F104" s="397"/>
      <c r="G104" s="397"/>
      <c r="H104" s="397"/>
      <c r="I104" s="397"/>
      <c r="J104" s="397"/>
    </row>
    <row r="105" spans="1:10" ht="16.5">
      <c r="A105" s="382"/>
      <c r="B105" s="395"/>
      <c r="C105" s="396"/>
      <c r="D105" s="382"/>
      <c r="E105" s="397"/>
      <c r="F105" s="397"/>
      <c r="G105" s="397"/>
      <c r="H105" s="397"/>
      <c r="I105" s="397"/>
      <c r="J105" s="397"/>
    </row>
    <row r="106" spans="1:10" ht="16.5">
      <c r="A106" s="382"/>
      <c r="B106" s="395"/>
      <c r="C106" s="396"/>
      <c r="D106" s="382"/>
      <c r="E106" s="397"/>
      <c r="F106" s="397"/>
      <c r="G106" s="397"/>
      <c r="H106" s="397"/>
      <c r="I106" s="397"/>
      <c r="J106" s="397"/>
    </row>
    <row r="107" spans="1:10" ht="16.5">
      <c r="A107" s="382"/>
      <c r="B107" s="395"/>
      <c r="C107" s="396"/>
      <c r="D107" s="382"/>
      <c r="E107" s="397"/>
      <c r="F107" s="397"/>
      <c r="G107" s="397"/>
      <c r="H107" s="397"/>
      <c r="I107" s="397"/>
      <c r="J107" s="397"/>
    </row>
    <row r="108" spans="1:10" ht="16.5">
      <c r="A108" s="382"/>
      <c r="B108" s="395"/>
      <c r="C108" s="396"/>
      <c r="D108" s="382"/>
      <c r="E108" s="397"/>
      <c r="F108" s="397"/>
      <c r="G108" s="397"/>
      <c r="H108" s="397"/>
      <c r="I108" s="397"/>
      <c r="J108" s="397"/>
    </row>
    <row r="109" spans="1:10" ht="16.5">
      <c r="A109" s="382"/>
      <c r="B109" s="395"/>
      <c r="C109" s="396"/>
      <c r="D109" s="382"/>
      <c r="E109" s="397"/>
      <c r="F109" s="397"/>
      <c r="G109" s="397"/>
      <c r="H109" s="397"/>
      <c r="I109" s="397"/>
      <c r="J109" s="397"/>
    </row>
    <row r="110" spans="1:10" ht="16.5">
      <c r="A110" s="382"/>
      <c r="B110" s="395"/>
      <c r="C110" s="396"/>
      <c r="D110" s="382"/>
      <c r="E110" s="397"/>
      <c r="F110" s="397"/>
      <c r="G110" s="397"/>
      <c r="H110" s="397"/>
      <c r="I110" s="397"/>
      <c r="J110" s="397"/>
    </row>
    <row r="111" spans="1:10" ht="16.5">
      <c r="A111" s="382"/>
      <c r="B111" s="395"/>
      <c r="C111" s="396"/>
      <c r="D111" s="382"/>
      <c r="E111" s="397"/>
      <c r="F111" s="397"/>
      <c r="G111" s="397"/>
      <c r="H111" s="397"/>
      <c r="I111" s="397"/>
      <c r="J111" s="397"/>
    </row>
    <row r="112" spans="1:10" ht="16.5">
      <c r="A112" s="382"/>
      <c r="B112" s="395"/>
      <c r="C112" s="396"/>
      <c r="D112" s="382"/>
      <c r="E112" s="397"/>
      <c r="F112" s="397"/>
      <c r="G112" s="397"/>
      <c r="H112" s="397"/>
      <c r="I112" s="397"/>
      <c r="J112" s="397"/>
    </row>
    <row r="113" spans="1:10" ht="16.5">
      <c r="A113" s="382"/>
      <c r="B113" s="395"/>
      <c r="C113" s="396"/>
      <c r="D113" s="382"/>
      <c r="E113" s="397"/>
      <c r="F113" s="397"/>
      <c r="G113" s="397"/>
      <c r="H113" s="397"/>
      <c r="I113" s="397"/>
      <c r="J113" s="397"/>
    </row>
    <row r="114" spans="1:10" ht="16.5">
      <c r="A114" s="382"/>
      <c r="B114" s="395"/>
      <c r="C114" s="396"/>
      <c r="D114" s="382"/>
      <c r="E114" s="397"/>
      <c r="F114" s="397"/>
      <c r="G114" s="397"/>
      <c r="H114" s="397"/>
      <c r="I114" s="397"/>
      <c r="J114" s="397"/>
    </row>
    <row r="115" spans="1:10" ht="16.5">
      <c r="A115" s="382"/>
      <c r="B115" s="395"/>
      <c r="C115" s="396"/>
      <c r="D115" s="382"/>
      <c r="E115" s="397"/>
      <c r="F115" s="397"/>
      <c r="G115" s="397"/>
      <c r="H115" s="397"/>
      <c r="I115" s="397"/>
      <c r="J115" s="397"/>
    </row>
    <row r="116" spans="1:10" ht="16.5">
      <c r="A116" s="382"/>
      <c r="B116" s="395"/>
      <c r="C116" s="396"/>
      <c r="D116" s="382"/>
      <c r="E116" s="397"/>
      <c r="F116" s="397"/>
      <c r="G116" s="397"/>
      <c r="H116" s="397"/>
      <c r="I116" s="397"/>
      <c r="J116" s="397"/>
    </row>
    <row r="117" spans="1:10" ht="16.5">
      <c r="A117" s="382"/>
      <c r="B117" s="395"/>
      <c r="C117" s="396"/>
      <c r="D117" s="382"/>
      <c r="E117" s="397"/>
      <c r="F117" s="397"/>
      <c r="G117" s="397"/>
      <c r="H117" s="397"/>
      <c r="I117" s="397"/>
      <c r="J117" s="397"/>
    </row>
    <row r="118" spans="1:10" ht="16.5">
      <c r="A118" s="382"/>
      <c r="B118" s="395"/>
      <c r="C118" s="396"/>
      <c r="D118" s="382"/>
      <c r="E118" s="397"/>
      <c r="F118" s="397"/>
      <c r="G118" s="397"/>
      <c r="H118" s="397"/>
      <c r="I118" s="397"/>
      <c r="J118" s="397"/>
    </row>
    <row r="119" spans="1:10" ht="16.5">
      <c r="A119" s="382"/>
      <c r="B119" s="395"/>
      <c r="C119" s="396"/>
      <c r="D119" s="382"/>
      <c r="E119" s="397"/>
      <c r="F119" s="397"/>
      <c r="G119" s="397"/>
      <c r="H119" s="397"/>
      <c r="I119" s="397"/>
      <c r="J119" s="397"/>
    </row>
    <row r="120" spans="1:10" ht="16.5">
      <c r="A120" s="382"/>
      <c r="B120" s="395"/>
      <c r="C120" s="396"/>
      <c r="D120" s="382"/>
      <c r="E120" s="397"/>
      <c r="F120" s="397"/>
      <c r="G120" s="397"/>
      <c r="H120" s="397"/>
      <c r="I120" s="397"/>
      <c r="J120" s="397"/>
    </row>
    <row r="121" spans="1:10" ht="16.5">
      <c r="A121" s="382"/>
      <c r="B121" s="395"/>
      <c r="C121" s="396"/>
      <c r="D121" s="382"/>
      <c r="E121" s="397"/>
      <c r="F121" s="397"/>
      <c r="G121" s="397"/>
      <c r="H121" s="397"/>
      <c r="I121" s="397"/>
      <c r="J121" s="397"/>
    </row>
    <row r="122" spans="1:10" ht="16.5">
      <c r="A122" s="382"/>
      <c r="B122" s="395"/>
      <c r="C122" s="396"/>
      <c r="D122" s="382"/>
      <c r="E122" s="397"/>
      <c r="F122" s="397"/>
      <c r="G122" s="397"/>
      <c r="H122" s="397"/>
      <c r="I122" s="397"/>
      <c r="J122" s="397"/>
    </row>
    <row r="123" spans="1:10" ht="16.5">
      <c r="A123" s="382"/>
      <c r="B123" s="395"/>
      <c r="C123" s="396"/>
      <c r="D123" s="382"/>
      <c r="E123" s="397"/>
      <c r="F123" s="397"/>
      <c r="G123" s="397"/>
      <c r="H123" s="397"/>
      <c r="I123" s="397"/>
      <c r="J123" s="397"/>
    </row>
    <row r="124" spans="1:10" ht="16.5">
      <c r="A124" s="382"/>
      <c r="B124" s="395"/>
      <c r="C124" s="396"/>
      <c r="D124" s="382"/>
      <c r="E124" s="397"/>
      <c r="F124" s="397"/>
      <c r="G124" s="397"/>
      <c r="H124" s="397"/>
      <c r="I124" s="397"/>
      <c r="J124" s="397"/>
    </row>
    <row r="125" spans="1:10" ht="16.5">
      <c r="A125" s="382"/>
      <c r="B125" s="395"/>
      <c r="C125" s="396"/>
      <c r="D125" s="382"/>
      <c r="E125" s="397"/>
      <c r="F125" s="397"/>
      <c r="G125" s="397"/>
      <c r="H125" s="397"/>
      <c r="I125" s="397"/>
      <c r="J125" s="397"/>
    </row>
    <row r="126" spans="1:10" ht="16.5">
      <c r="A126" s="382"/>
      <c r="B126" s="395"/>
      <c r="C126" s="396"/>
      <c r="D126" s="382"/>
      <c r="E126" s="397"/>
      <c r="F126" s="397"/>
      <c r="G126" s="397"/>
      <c r="H126" s="397"/>
      <c r="I126" s="397"/>
      <c r="J126" s="397"/>
    </row>
    <row r="127" spans="1:10" ht="16.5">
      <c r="A127" s="382"/>
      <c r="B127" s="395"/>
      <c r="C127" s="396"/>
      <c r="D127" s="382"/>
      <c r="E127" s="397"/>
      <c r="F127" s="397"/>
      <c r="G127" s="397"/>
      <c r="H127" s="397"/>
      <c r="I127" s="397"/>
      <c r="J127" s="397"/>
    </row>
    <row r="128" spans="1:10" ht="16.5">
      <c r="A128" s="382"/>
      <c r="B128" s="395"/>
      <c r="C128" s="396"/>
      <c r="D128" s="382"/>
      <c r="E128" s="397"/>
      <c r="F128" s="397"/>
      <c r="G128" s="397"/>
      <c r="H128" s="397"/>
      <c r="I128" s="397"/>
      <c r="J128" s="397"/>
    </row>
    <row r="129" spans="1:10" ht="16.5">
      <c r="A129" s="382"/>
      <c r="B129" s="395"/>
      <c r="C129" s="396"/>
      <c r="D129" s="382"/>
      <c r="E129" s="397"/>
      <c r="F129" s="397"/>
      <c r="G129" s="397"/>
      <c r="H129" s="397"/>
      <c r="I129" s="397"/>
      <c r="J129" s="397"/>
    </row>
    <row r="130" spans="1:10" ht="16.5">
      <c r="A130" s="382"/>
      <c r="B130" s="395"/>
      <c r="C130" s="396"/>
      <c r="D130" s="382"/>
      <c r="E130" s="397"/>
      <c r="F130" s="397"/>
      <c r="G130" s="397"/>
      <c r="H130" s="397"/>
      <c r="I130" s="397"/>
      <c r="J130" s="397"/>
    </row>
    <row r="131" spans="1:10" ht="16.5">
      <c r="A131" s="382"/>
      <c r="B131" s="395"/>
      <c r="C131" s="396"/>
      <c r="D131" s="382"/>
      <c r="E131" s="397"/>
      <c r="F131" s="397"/>
      <c r="G131" s="397"/>
      <c r="H131" s="397"/>
      <c r="I131" s="397"/>
      <c r="J131" s="397"/>
    </row>
    <row r="132" spans="1:10" ht="16.5">
      <c r="A132" s="382"/>
      <c r="B132" s="395"/>
      <c r="C132" s="396"/>
      <c r="D132" s="382"/>
      <c r="E132" s="397"/>
      <c r="F132" s="397"/>
      <c r="G132" s="397"/>
      <c r="H132" s="397"/>
      <c r="I132" s="397"/>
      <c r="J132" s="397"/>
    </row>
    <row r="133" spans="1:10" ht="16.5">
      <c r="A133" s="382"/>
      <c r="B133" s="395"/>
      <c r="C133" s="396"/>
      <c r="D133" s="382"/>
      <c r="E133" s="397"/>
      <c r="F133" s="397"/>
      <c r="G133" s="397"/>
      <c r="H133" s="397"/>
      <c r="I133" s="397"/>
      <c r="J133" s="397"/>
    </row>
    <row r="134" spans="1:10" ht="16.5">
      <c r="A134" s="382"/>
      <c r="B134" s="395"/>
      <c r="C134" s="396"/>
      <c r="D134" s="382"/>
      <c r="E134" s="397"/>
      <c r="F134" s="397"/>
      <c r="G134" s="397"/>
      <c r="H134" s="397"/>
      <c r="I134" s="397"/>
      <c r="J134" s="397"/>
    </row>
    <row r="135" spans="1:10" ht="16.5">
      <c r="A135" s="382"/>
      <c r="B135" s="395"/>
      <c r="C135" s="396"/>
      <c r="D135" s="382"/>
      <c r="E135" s="397"/>
      <c r="F135" s="397"/>
      <c r="G135" s="397"/>
      <c r="H135" s="397"/>
      <c r="I135" s="397"/>
      <c r="J135" s="397"/>
    </row>
    <row r="136" spans="1:10" ht="16.5">
      <c r="A136" s="382"/>
      <c r="B136" s="395"/>
      <c r="C136" s="396"/>
      <c r="D136" s="382"/>
      <c r="E136" s="397"/>
      <c r="F136" s="397"/>
      <c r="G136" s="397"/>
      <c r="H136" s="397"/>
      <c r="I136" s="397"/>
      <c r="J136" s="397"/>
    </row>
    <row r="137" spans="1:10" ht="16.5">
      <c r="A137" s="382"/>
      <c r="B137" s="395"/>
      <c r="C137" s="396"/>
      <c r="D137" s="382"/>
      <c r="E137" s="397"/>
      <c r="F137" s="397"/>
      <c r="G137" s="397"/>
      <c r="H137" s="397"/>
      <c r="I137" s="397"/>
      <c r="J137" s="397"/>
    </row>
    <row r="138" spans="1:10" ht="16.5">
      <c r="A138" s="382"/>
      <c r="B138" s="395"/>
      <c r="C138" s="396"/>
      <c r="D138" s="382"/>
      <c r="E138" s="397"/>
      <c r="F138" s="397"/>
      <c r="G138" s="397"/>
      <c r="H138" s="397"/>
      <c r="I138" s="397"/>
      <c r="J138" s="397"/>
    </row>
    <row r="139" spans="1:10" ht="16.5">
      <c r="A139" s="382"/>
      <c r="B139" s="395"/>
      <c r="C139" s="396"/>
      <c r="D139" s="382"/>
      <c r="E139" s="397"/>
      <c r="F139" s="397"/>
      <c r="G139" s="397"/>
      <c r="H139" s="397"/>
      <c r="I139" s="397"/>
      <c r="J139" s="397"/>
    </row>
    <row r="140" spans="1:10" ht="16.5">
      <c r="A140" s="382"/>
      <c r="B140" s="395"/>
      <c r="C140" s="396"/>
      <c r="D140" s="382"/>
      <c r="E140" s="397"/>
      <c r="F140" s="397"/>
      <c r="G140" s="397"/>
      <c r="H140" s="397"/>
      <c r="I140" s="397"/>
      <c r="J140" s="397"/>
    </row>
    <row r="141" spans="1:10" ht="16.5">
      <c r="A141" s="382"/>
      <c r="B141" s="395"/>
      <c r="C141" s="396"/>
      <c r="D141" s="382"/>
      <c r="E141" s="397"/>
      <c r="F141" s="397"/>
      <c r="G141" s="397"/>
      <c r="H141" s="397"/>
      <c r="I141" s="397"/>
      <c r="J141" s="397"/>
    </row>
    <row r="142" spans="1:10" ht="16.5">
      <c r="A142" s="382"/>
      <c r="B142" s="395"/>
      <c r="C142" s="396"/>
      <c r="D142" s="382"/>
      <c r="E142" s="397"/>
      <c r="F142" s="397"/>
      <c r="G142" s="397"/>
      <c r="H142" s="397"/>
      <c r="I142" s="397"/>
      <c r="J142" s="397"/>
    </row>
    <row r="143" spans="1:10" ht="16.5">
      <c r="A143" s="382"/>
      <c r="B143" s="395"/>
      <c r="C143" s="396"/>
      <c r="D143" s="382"/>
      <c r="E143" s="397"/>
      <c r="F143" s="397"/>
      <c r="G143" s="397"/>
      <c r="H143" s="397"/>
      <c r="I143" s="397"/>
      <c r="J143" s="397"/>
    </row>
    <row r="144" spans="1:10" ht="16.5">
      <c r="A144" s="382"/>
      <c r="B144" s="395"/>
      <c r="C144" s="396"/>
      <c r="D144" s="382"/>
      <c r="E144" s="397"/>
      <c r="F144" s="397"/>
      <c r="G144" s="397"/>
      <c r="H144" s="397"/>
      <c r="I144" s="397"/>
      <c r="J144" s="397"/>
    </row>
    <row r="145" spans="1:10" ht="16.5">
      <c r="A145" s="382"/>
      <c r="B145" s="395"/>
      <c r="C145" s="396"/>
      <c r="D145" s="382"/>
      <c r="E145" s="397"/>
      <c r="F145" s="397"/>
      <c r="G145" s="397"/>
      <c r="H145" s="397"/>
      <c r="I145" s="397"/>
      <c r="J145" s="397"/>
    </row>
    <row r="146" spans="1:10" ht="16.5">
      <c r="A146" s="382"/>
      <c r="B146" s="395"/>
      <c r="C146" s="396"/>
      <c r="D146" s="382"/>
      <c r="E146" s="397"/>
      <c r="F146" s="397"/>
      <c r="G146" s="397"/>
      <c r="H146" s="397"/>
      <c r="I146" s="397"/>
      <c r="J146" s="397"/>
    </row>
    <row r="147" spans="1:10" ht="16.5">
      <c r="A147" s="382"/>
      <c r="B147" s="395"/>
      <c r="C147" s="396"/>
      <c r="D147" s="382"/>
      <c r="E147" s="397"/>
      <c r="F147" s="397"/>
      <c r="G147" s="397"/>
      <c r="H147" s="397"/>
      <c r="I147" s="397"/>
      <c r="J147" s="397"/>
    </row>
    <row r="148" spans="1:10" ht="16.5">
      <c r="A148" s="382"/>
      <c r="B148" s="395"/>
      <c r="C148" s="396"/>
      <c r="D148" s="382"/>
      <c r="E148" s="397"/>
      <c r="F148" s="397"/>
      <c r="G148" s="397"/>
      <c r="H148" s="397"/>
      <c r="I148" s="397"/>
      <c r="J148" s="397"/>
    </row>
    <row r="149" spans="1:10" ht="16.5">
      <c r="A149" s="382"/>
      <c r="B149" s="395"/>
      <c r="C149" s="396"/>
      <c r="D149" s="382"/>
      <c r="E149" s="397"/>
      <c r="F149" s="397"/>
      <c r="G149" s="397"/>
      <c r="H149" s="397"/>
      <c r="I149" s="397"/>
      <c r="J149" s="397"/>
    </row>
    <row r="150" spans="1:10" ht="16.5">
      <c r="A150" s="382"/>
      <c r="B150" s="395"/>
      <c r="C150" s="396"/>
      <c r="D150" s="382"/>
      <c r="E150" s="397"/>
      <c r="F150" s="397"/>
      <c r="G150" s="397"/>
      <c r="H150" s="397"/>
      <c r="I150" s="397"/>
      <c r="J150" s="397"/>
    </row>
    <row r="151" spans="1:10" ht="16.5">
      <c r="A151" s="382"/>
      <c r="B151" s="395"/>
      <c r="C151" s="396"/>
      <c r="D151" s="382"/>
      <c r="E151" s="397"/>
      <c r="F151" s="397"/>
      <c r="G151" s="397"/>
      <c r="H151" s="397"/>
      <c r="I151" s="397"/>
      <c r="J151" s="397"/>
    </row>
    <row r="152" spans="1:10" ht="16.5">
      <c r="A152" s="382"/>
      <c r="B152" s="395"/>
      <c r="C152" s="396"/>
      <c r="D152" s="382"/>
      <c r="E152" s="397"/>
      <c r="F152" s="397"/>
      <c r="G152" s="397"/>
      <c r="H152" s="397"/>
      <c r="I152" s="397"/>
      <c r="J152" s="397"/>
    </row>
    <row r="153" spans="1:10" ht="16.5">
      <c r="A153" s="382"/>
      <c r="B153" s="395"/>
      <c r="C153" s="396"/>
      <c r="D153" s="382"/>
      <c r="E153" s="397"/>
      <c r="F153" s="397"/>
      <c r="G153" s="397"/>
      <c r="H153" s="397"/>
      <c r="I153" s="397"/>
      <c r="J153" s="397"/>
    </row>
    <row r="154" spans="1:10" ht="16.5">
      <c r="A154" s="382"/>
      <c r="B154" s="395"/>
      <c r="C154" s="396"/>
      <c r="D154" s="382"/>
      <c r="E154" s="397"/>
      <c r="F154" s="397"/>
      <c r="G154" s="397"/>
      <c r="H154" s="397"/>
      <c r="I154" s="397"/>
      <c r="J154" s="397"/>
    </row>
    <row r="155" spans="1:10" ht="16.5">
      <c r="A155" s="382"/>
      <c r="B155" s="395"/>
      <c r="C155" s="396"/>
      <c r="D155" s="382"/>
      <c r="E155" s="397"/>
      <c r="F155" s="397"/>
      <c r="G155" s="397"/>
      <c r="H155" s="397"/>
      <c r="I155" s="397"/>
      <c r="J155" s="397"/>
    </row>
    <row r="156" spans="1:10" ht="16.5">
      <c r="A156" s="382"/>
      <c r="B156" s="395"/>
      <c r="C156" s="396"/>
      <c r="D156" s="382"/>
      <c r="E156" s="397"/>
      <c r="F156" s="397"/>
      <c r="G156" s="397"/>
      <c r="H156" s="397"/>
      <c r="I156" s="397"/>
      <c r="J156" s="397"/>
    </row>
    <row r="157" spans="1:10" ht="16.5">
      <c r="A157" s="382"/>
      <c r="B157" s="395"/>
      <c r="C157" s="396"/>
      <c r="D157" s="382"/>
      <c r="E157" s="397"/>
      <c r="F157" s="397"/>
      <c r="G157" s="397"/>
      <c r="H157" s="397"/>
      <c r="I157" s="397"/>
      <c r="J157" s="397"/>
    </row>
    <row r="158" spans="1:10" ht="16.5">
      <c r="A158" s="382"/>
      <c r="B158" s="395"/>
      <c r="C158" s="396"/>
      <c r="D158" s="382"/>
      <c r="E158" s="397"/>
      <c r="F158" s="397"/>
      <c r="G158" s="397"/>
      <c r="H158" s="397"/>
      <c r="I158" s="397"/>
      <c r="J158" s="397"/>
    </row>
    <row r="159" spans="1:10" ht="16.5">
      <c r="A159" s="382"/>
      <c r="B159" s="395"/>
      <c r="C159" s="396"/>
      <c r="D159" s="382"/>
      <c r="E159" s="397"/>
      <c r="F159" s="397"/>
      <c r="G159" s="397"/>
      <c r="H159" s="397"/>
      <c r="I159" s="397"/>
      <c r="J159" s="397"/>
    </row>
    <row r="160" spans="1:10" ht="16.5">
      <c r="A160" s="382"/>
      <c r="B160" s="395"/>
      <c r="C160" s="396"/>
      <c r="D160" s="382"/>
      <c r="E160" s="397"/>
      <c r="F160" s="397"/>
      <c r="G160" s="397"/>
      <c r="H160" s="397"/>
      <c r="I160" s="397"/>
      <c r="J160" s="397"/>
    </row>
    <row r="161" spans="1:10" ht="16.5">
      <c r="A161" s="382"/>
      <c r="B161" s="395"/>
      <c r="C161" s="396"/>
      <c r="D161" s="382"/>
      <c r="E161" s="397"/>
      <c r="F161" s="397"/>
      <c r="G161" s="397"/>
      <c r="H161" s="397"/>
      <c r="I161" s="397"/>
      <c r="J161" s="397"/>
    </row>
    <row r="162" spans="1:10" ht="16.5">
      <c r="A162" s="382"/>
      <c r="B162" s="395"/>
      <c r="C162" s="396"/>
      <c r="D162" s="382"/>
      <c r="E162" s="397"/>
      <c r="F162" s="397"/>
      <c r="G162" s="397"/>
      <c r="H162" s="397"/>
      <c r="I162" s="397"/>
      <c r="J162" s="397"/>
    </row>
    <row r="163" spans="1:10" ht="16.5">
      <c r="A163" s="382"/>
      <c r="B163" s="395"/>
      <c r="C163" s="396"/>
      <c r="D163" s="382"/>
      <c r="E163" s="397"/>
      <c r="F163" s="397"/>
      <c r="G163" s="397"/>
      <c r="H163" s="397"/>
      <c r="I163" s="397"/>
      <c r="J163" s="397"/>
    </row>
    <row r="164" spans="1:10" ht="16.5">
      <c r="A164" s="382"/>
      <c r="B164" s="395"/>
      <c r="C164" s="396"/>
      <c r="D164" s="382"/>
      <c r="E164" s="397"/>
      <c r="F164" s="397"/>
      <c r="G164" s="397"/>
      <c r="H164" s="397"/>
      <c r="I164" s="397"/>
      <c r="J164" s="397"/>
    </row>
    <row r="165" spans="1:10" ht="16.5">
      <c r="A165" s="382"/>
      <c r="B165" s="395"/>
      <c r="C165" s="396"/>
      <c r="D165" s="382"/>
      <c r="E165" s="397"/>
      <c r="F165" s="397"/>
      <c r="G165" s="397"/>
      <c r="H165" s="397"/>
      <c r="I165" s="397"/>
      <c r="J165" s="397"/>
    </row>
    <row r="166" spans="1:10" ht="16.5">
      <c r="A166" s="382"/>
      <c r="B166" s="395"/>
      <c r="C166" s="396"/>
      <c r="D166" s="382"/>
      <c r="E166" s="397"/>
      <c r="F166" s="397"/>
      <c r="G166" s="397"/>
      <c r="H166" s="397"/>
      <c r="I166" s="397"/>
      <c r="J166" s="397"/>
    </row>
    <row r="167" spans="1:10" ht="16.5">
      <c r="A167" s="382"/>
      <c r="B167" s="395"/>
      <c r="C167" s="396"/>
      <c r="D167" s="382"/>
      <c r="E167" s="397"/>
      <c r="F167" s="397"/>
      <c r="G167" s="397"/>
      <c r="H167" s="397"/>
      <c r="I167" s="397"/>
      <c r="J167" s="397"/>
    </row>
    <row r="168" spans="1:10" ht="16.5">
      <c r="A168" s="382"/>
      <c r="B168" s="395"/>
      <c r="C168" s="396"/>
      <c r="D168" s="382"/>
      <c r="E168" s="397"/>
      <c r="F168" s="397"/>
      <c r="G168" s="397"/>
      <c r="H168" s="397"/>
      <c r="I168" s="397"/>
      <c r="J168" s="397"/>
    </row>
    <row r="169" spans="1:10" ht="16.5">
      <c r="A169" s="382"/>
      <c r="B169" s="395"/>
      <c r="C169" s="396"/>
      <c r="D169" s="382"/>
      <c r="E169" s="397"/>
      <c r="F169" s="397"/>
      <c r="G169" s="397"/>
      <c r="H169" s="397"/>
      <c r="I169" s="397"/>
      <c r="J169" s="397"/>
    </row>
    <row r="170" spans="1:10" ht="16.5">
      <c r="A170" s="382"/>
      <c r="B170" s="395"/>
      <c r="C170" s="396"/>
      <c r="D170" s="382"/>
      <c r="E170" s="397"/>
      <c r="F170" s="397"/>
      <c r="G170" s="397"/>
      <c r="H170" s="397"/>
      <c r="I170" s="397"/>
      <c r="J170" s="397"/>
    </row>
    <row r="171" spans="1:10" ht="16.5">
      <c r="A171" s="382"/>
      <c r="B171" s="395"/>
      <c r="C171" s="396"/>
      <c r="D171" s="382"/>
      <c r="E171" s="397"/>
      <c r="F171" s="397"/>
      <c r="G171" s="397"/>
      <c r="H171" s="397"/>
      <c r="I171" s="397"/>
      <c r="J171" s="397"/>
    </row>
    <row r="172" spans="1:10" ht="16.5">
      <c r="A172" s="382"/>
      <c r="B172" s="395"/>
      <c r="C172" s="396"/>
      <c r="D172" s="382"/>
      <c r="E172" s="397"/>
      <c r="F172" s="397"/>
      <c r="G172" s="397"/>
      <c r="H172" s="397"/>
      <c r="I172" s="397"/>
      <c r="J172" s="397"/>
    </row>
    <row r="173" spans="1:10" ht="16.5">
      <c r="A173" s="382"/>
      <c r="B173" s="395"/>
      <c r="C173" s="396"/>
      <c r="D173" s="382"/>
      <c r="E173" s="397"/>
      <c r="F173" s="397"/>
      <c r="G173" s="397"/>
      <c r="H173" s="397"/>
      <c r="I173" s="397"/>
      <c r="J173" s="397"/>
    </row>
    <row r="174" spans="1:10" ht="16.5">
      <c r="A174" s="382"/>
      <c r="B174" s="395"/>
      <c r="C174" s="396"/>
      <c r="D174" s="382"/>
      <c r="E174" s="397"/>
      <c r="F174" s="397"/>
      <c r="G174" s="397"/>
      <c r="H174" s="397"/>
      <c r="I174" s="397"/>
      <c r="J174" s="397"/>
    </row>
    <row r="175" spans="1:10" ht="16.5">
      <c r="A175" s="382"/>
      <c r="B175" s="395"/>
      <c r="C175" s="396"/>
      <c r="D175" s="382"/>
      <c r="E175" s="397"/>
      <c r="F175" s="397"/>
      <c r="G175" s="397"/>
      <c r="H175" s="397"/>
      <c r="I175" s="397"/>
      <c r="J175" s="397"/>
    </row>
    <row r="176" spans="1:10" ht="16.5">
      <c r="A176" s="382"/>
      <c r="B176" s="395"/>
      <c r="C176" s="396"/>
      <c r="D176" s="382"/>
      <c r="E176" s="397"/>
      <c r="F176" s="397"/>
      <c r="G176" s="397"/>
      <c r="H176" s="397"/>
      <c r="I176" s="397"/>
      <c r="J176" s="397"/>
    </row>
    <row r="177" spans="1:10" ht="16.5">
      <c r="A177" s="382"/>
      <c r="B177" s="395"/>
      <c r="C177" s="396"/>
      <c r="D177" s="382"/>
      <c r="E177" s="397"/>
      <c r="F177" s="397"/>
      <c r="G177" s="397"/>
      <c r="H177" s="397"/>
      <c r="I177" s="397"/>
      <c r="J177" s="397"/>
    </row>
    <row r="178" spans="1:10" ht="16.5">
      <c r="A178" s="382"/>
      <c r="B178" s="395"/>
      <c r="C178" s="396"/>
      <c r="D178" s="382"/>
      <c r="E178" s="397"/>
      <c r="F178" s="397"/>
      <c r="G178" s="397"/>
      <c r="H178" s="397"/>
      <c r="I178" s="397"/>
      <c r="J178" s="397"/>
    </row>
    <row r="179" spans="1:10" ht="16.5">
      <c r="A179" s="382"/>
      <c r="B179" s="395"/>
      <c r="C179" s="396"/>
      <c r="D179" s="382"/>
      <c r="E179" s="397"/>
      <c r="F179" s="397"/>
      <c r="G179" s="397"/>
      <c r="H179" s="397"/>
      <c r="I179" s="397"/>
      <c r="J179" s="397"/>
    </row>
    <row r="180" spans="1:10" ht="16.5">
      <c r="A180" s="382"/>
      <c r="B180" s="395"/>
      <c r="C180" s="396"/>
      <c r="D180" s="382"/>
      <c r="E180" s="397"/>
      <c r="F180" s="397"/>
      <c r="G180" s="397"/>
      <c r="H180" s="397"/>
      <c r="I180" s="397"/>
      <c r="J180" s="397"/>
    </row>
    <row r="181" spans="1:10" ht="16.5">
      <c r="A181" s="382"/>
      <c r="B181" s="395"/>
      <c r="C181" s="396"/>
      <c r="D181" s="382"/>
      <c r="E181" s="397"/>
      <c r="F181" s="397"/>
      <c r="G181" s="397"/>
      <c r="H181" s="397"/>
      <c r="I181" s="397"/>
      <c r="J181" s="397"/>
    </row>
    <row r="182" spans="1:10" ht="16.5">
      <c r="A182" s="382"/>
      <c r="B182" s="395"/>
      <c r="C182" s="396"/>
      <c r="D182" s="382"/>
      <c r="E182" s="397"/>
      <c r="F182" s="397"/>
      <c r="G182" s="397"/>
      <c r="H182" s="397"/>
      <c r="I182" s="397"/>
      <c r="J182" s="397"/>
    </row>
    <row r="183" spans="1:10" ht="16.5">
      <c r="A183" s="382"/>
      <c r="B183" s="395"/>
      <c r="C183" s="396"/>
      <c r="D183" s="382"/>
      <c r="E183" s="397"/>
      <c r="F183" s="397"/>
      <c r="G183" s="397"/>
      <c r="H183" s="397"/>
      <c r="I183" s="397"/>
      <c r="J183" s="397"/>
    </row>
    <row r="184" spans="1:10" ht="16.5">
      <c r="A184" s="382"/>
      <c r="B184" s="395"/>
      <c r="C184" s="396"/>
      <c r="D184" s="382"/>
      <c r="E184" s="397"/>
      <c r="F184" s="397"/>
      <c r="G184" s="397"/>
      <c r="H184" s="397"/>
      <c r="I184" s="397"/>
      <c r="J184" s="397"/>
    </row>
    <row r="185" spans="1:10" ht="16.5">
      <c r="A185" s="382"/>
      <c r="B185" s="395"/>
      <c r="C185" s="396"/>
      <c r="D185" s="382"/>
      <c r="E185" s="397"/>
      <c r="F185" s="397"/>
      <c r="G185" s="397"/>
      <c r="H185" s="397"/>
      <c r="I185" s="397"/>
      <c r="J185" s="397"/>
    </row>
    <row r="186" spans="1:10" ht="16.5">
      <c r="A186" s="382"/>
      <c r="B186" s="395"/>
      <c r="C186" s="396"/>
      <c r="D186" s="382"/>
      <c r="E186" s="397"/>
      <c r="F186" s="397"/>
      <c r="G186" s="397"/>
      <c r="H186" s="397"/>
      <c r="I186" s="397"/>
      <c r="J186" s="397"/>
    </row>
    <row r="187" spans="1:10" ht="16.5">
      <c r="A187" s="382"/>
      <c r="B187" s="395"/>
      <c r="C187" s="396"/>
      <c r="D187" s="382"/>
      <c r="E187" s="397"/>
      <c r="F187" s="397"/>
      <c r="G187" s="397"/>
      <c r="H187" s="397"/>
      <c r="I187" s="397"/>
      <c r="J187" s="397"/>
    </row>
    <row r="188" spans="1:10" ht="16.5">
      <c r="A188" s="382"/>
      <c r="B188" s="395"/>
      <c r="C188" s="396"/>
      <c r="D188" s="382"/>
      <c r="E188" s="397"/>
      <c r="F188" s="397"/>
      <c r="G188" s="397"/>
      <c r="H188" s="397"/>
      <c r="I188" s="397"/>
      <c r="J188" s="397"/>
    </row>
    <row r="189" spans="1:10" ht="16.5">
      <c r="A189" s="382"/>
      <c r="B189" s="395"/>
      <c r="C189" s="396"/>
      <c r="D189" s="382"/>
      <c r="E189" s="397"/>
      <c r="F189" s="397"/>
      <c r="G189" s="397"/>
      <c r="H189" s="397"/>
      <c r="I189" s="397"/>
      <c r="J189" s="397"/>
    </row>
    <row r="190" spans="1:10" ht="16.5">
      <c r="A190" s="382"/>
      <c r="B190" s="395"/>
      <c r="C190" s="396"/>
      <c r="D190" s="382"/>
      <c r="E190" s="397"/>
      <c r="F190" s="397"/>
      <c r="G190" s="397"/>
      <c r="H190" s="397"/>
      <c r="I190" s="397"/>
      <c r="J190" s="397"/>
    </row>
    <row r="191" spans="1:10" ht="16.5">
      <c r="A191" s="382"/>
      <c r="B191" s="395"/>
      <c r="C191" s="396"/>
      <c r="D191" s="382"/>
      <c r="E191" s="397"/>
      <c r="F191" s="397"/>
      <c r="G191" s="397"/>
      <c r="H191" s="397"/>
      <c r="I191" s="397"/>
      <c r="J191" s="397"/>
    </row>
    <row r="192" spans="1:10" ht="16.5">
      <c r="A192" s="382"/>
      <c r="B192" s="395"/>
      <c r="C192" s="396"/>
      <c r="D192" s="382"/>
      <c r="E192" s="397"/>
      <c r="F192" s="397"/>
      <c r="G192" s="397"/>
      <c r="H192" s="397"/>
      <c r="I192" s="397"/>
      <c r="J192" s="397"/>
    </row>
    <row r="193" spans="1:10" ht="16.5">
      <c r="A193" s="382"/>
      <c r="B193" s="395"/>
      <c r="C193" s="396"/>
      <c r="D193" s="382"/>
      <c r="E193" s="397"/>
      <c r="F193" s="397"/>
      <c r="G193" s="397"/>
      <c r="H193" s="397"/>
      <c r="I193" s="397"/>
      <c r="J193" s="397"/>
    </row>
    <row r="194" spans="1:10" ht="16.5">
      <c r="A194" s="382"/>
      <c r="B194" s="395"/>
      <c r="C194" s="396"/>
      <c r="D194" s="382"/>
      <c r="E194" s="397"/>
      <c r="F194" s="397"/>
      <c r="G194" s="397"/>
      <c r="H194" s="397"/>
      <c r="I194" s="397"/>
      <c r="J194" s="397"/>
    </row>
    <row r="195" spans="1:10" ht="16.5">
      <c r="A195" s="382"/>
      <c r="B195" s="395"/>
      <c r="C195" s="396"/>
      <c r="D195" s="382"/>
      <c r="E195" s="397"/>
      <c r="F195" s="397"/>
      <c r="G195" s="397"/>
      <c r="H195" s="397"/>
      <c r="I195" s="397"/>
      <c r="J195" s="397"/>
    </row>
    <row r="196" spans="1:10" ht="16.5">
      <c r="A196" s="382"/>
      <c r="B196" s="395"/>
      <c r="C196" s="396"/>
      <c r="D196" s="382"/>
      <c r="E196" s="397"/>
      <c r="F196" s="397"/>
      <c r="G196" s="397"/>
      <c r="H196" s="397"/>
      <c r="I196" s="397"/>
      <c r="J196" s="397"/>
    </row>
    <row r="197" spans="1:10" ht="16.5">
      <c r="A197" s="382"/>
      <c r="B197" s="395"/>
      <c r="C197" s="396"/>
      <c r="D197" s="382"/>
      <c r="E197" s="397"/>
      <c r="F197" s="397"/>
      <c r="G197" s="397"/>
      <c r="H197" s="397"/>
      <c r="I197" s="397"/>
      <c r="J197" s="397"/>
    </row>
    <row r="198" spans="1:10" ht="16.5">
      <c r="A198" s="382"/>
      <c r="B198" s="395"/>
      <c r="C198" s="396"/>
      <c r="D198" s="382"/>
      <c r="E198" s="397"/>
      <c r="F198" s="397"/>
      <c r="G198" s="397"/>
      <c r="H198" s="397"/>
      <c r="I198" s="397"/>
      <c r="J198" s="397"/>
    </row>
    <row r="199" spans="1:10" ht="16.5">
      <c r="A199" s="382"/>
      <c r="B199" s="395"/>
      <c r="C199" s="396"/>
      <c r="D199" s="382"/>
      <c r="E199" s="397"/>
      <c r="F199" s="397"/>
      <c r="G199" s="397"/>
      <c r="H199" s="397"/>
      <c r="I199" s="397"/>
      <c r="J199" s="397"/>
    </row>
    <row r="200" spans="1:10" ht="16.5">
      <c r="A200" s="382"/>
      <c r="B200" s="395"/>
      <c r="C200" s="396"/>
      <c r="D200" s="382"/>
      <c r="E200" s="397"/>
      <c r="F200" s="397"/>
      <c r="G200" s="397"/>
      <c r="H200" s="397"/>
      <c r="I200" s="397"/>
      <c r="J200" s="397"/>
    </row>
    <row r="201" spans="1:10" ht="16.5">
      <c r="A201" s="382"/>
      <c r="B201" s="395"/>
      <c r="C201" s="396"/>
      <c r="D201" s="382"/>
      <c r="E201" s="397"/>
      <c r="F201" s="397"/>
      <c r="G201" s="397"/>
      <c r="H201" s="397"/>
      <c r="I201" s="397"/>
      <c r="J201" s="397"/>
    </row>
    <row r="202" spans="1:10" ht="16.5">
      <c r="A202" s="382"/>
      <c r="B202" s="395"/>
      <c r="C202" s="396"/>
      <c r="D202" s="382"/>
      <c r="E202" s="397"/>
      <c r="F202" s="397"/>
      <c r="G202" s="397"/>
      <c r="H202" s="397"/>
      <c r="I202" s="397"/>
      <c r="J202" s="397"/>
    </row>
    <row r="203" spans="1:10" ht="16.5">
      <c r="A203" s="382"/>
      <c r="B203" s="395"/>
      <c r="C203" s="396"/>
      <c r="D203" s="382"/>
      <c r="E203" s="397"/>
      <c r="F203" s="397"/>
      <c r="G203" s="397"/>
      <c r="H203" s="397"/>
      <c r="I203" s="397"/>
      <c r="J203" s="397"/>
    </row>
    <row r="204" spans="1:10" ht="16.5">
      <c r="A204" s="382"/>
      <c r="B204" s="395"/>
      <c r="C204" s="396"/>
      <c r="D204" s="382"/>
      <c r="E204" s="397"/>
      <c r="F204" s="397"/>
      <c r="G204" s="397"/>
      <c r="H204" s="397"/>
      <c r="I204" s="397"/>
      <c r="J204" s="397"/>
    </row>
    <row r="205" spans="1:10" ht="16.5">
      <c r="A205" s="382"/>
      <c r="B205" s="395"/>
      <c r="C205" s="396"/>
      <c r="D205" s="382"/>
      <c r="E205" s="397"/>
      <c r="F205" s="397"/>
      <c r="G205" s="397"/>
      <c r="H205" s="397"/>
      <c r="I205" s="397"/>
      <c r="J205" s="397"/>
    </row>
    <row r="206" spans="1:10" ht="16.5">
      <c r="A206" s="382"/>
      <c r="B206" s="395"/>
      <c r="C206" s="396"/>
      <c r="D206" s="382"/>
      <c r="E206" s="397"/>
      <c r="F206" s="397"/>
      <c r="G206" s="397"/>
      <c r="H206" s="397"/>
      <c r="I206" s="397"/>
      <c r="J206" s="397"/>
    </row>
    <row r="207" spans="1:10" ht="16.5">
      <c r="A207" s="382"/>
      <c r="B207" s="395"/>
      <c r="C207" s="396"/>
      <c r="D207" s="382"/>
      <c r="E207" s="397"/>
      <c r="F207" s="397"/>
      <c r="G207" s="397"/>
      <c r="H207" s="397"/>
      <c r="I207" s="397"/>
      <c r="J207" s="397"/>
    </row>
    <row r="208" spans="1:10" ht="16.5">
      <c r="A208" s="382"/>
      <c r="B208" s="395"/>
      <c r="C208" s="396"/>
      <c r="D208" s="382"/>
      <c r="E208" s="397"/>
      <c r="F208" s="397"/>
      <c r="G208" s="397"/>
      <c r="H208" s="397"/>
      <c r="I208" s="397"/>
      <c r="J208" s="397"/>
    </row>
    <row r="209" spans="1:10" ht="16.5">
      <c r="A209" s="382"/>
      <c r="B209" s="395"/>
      <c r="C209" s="396"/>
      <c r="D209" s="382"/>
      <c r="E209" s="397"/>
      <c r="F209" s="397"/>
      <c r="G209" s="397"/>
      <c r="H209" s="397"/>
      <c r="I209" s="397"/>
      <c r="J209" s="397"/>
    </row>
    <row r="210" spans="1:10" ht="16.5">
      <c r="A210" s="382"/>
      <c r="B210" s="395"/>
      <c r="C210" s="396"/>
      <c r="D210" s="382"/>
      <c r="E210" s="397"/>
      <c r="F210" s="397"/>
      <c r="G210" s="397"/>
      <c r="H210" s="397"/>
      <c r="I210" s="397"/>
      <c r="J210" s="397"/>
    </row>
    <row r="211" spans="1:10" ht="16.5">
      <c r="A211" s="382"/>
      <c r="B211" s="395"/>
      <c r="C211" s="396"/>
      <c r="D211" s="382"/>
      <c r="E211" s="397"/>
      <c r="F211" s="397"/>
      <c r="G211" s="397"/>
      <c r="H211" s="397"/>
      <c r="I211" s="397"/>
      <c r="J211" s="397"/>
    </row>
    <row r="212" spans="1:10" ht="16.5">
      <c r="A212" s="382"/>
      <c r="B212" s="395"/>
      <c r="C212" s="396"/>
      <c r="D212" s="382"/>
      <c r="E212" s="397"/>
      <c r="F212" s="397"/>
      <c r="G212" s="397"/>
      <c r="H212" s="397"/>
      <c r="I212" s="397"/>
      <c r="J212" s="397"/>
    </row>
    <row r="213" spans="1:10" ht="16.5">
      <c r="A213" s="382"/>
      <c r="B213" s="395"/>
      <c r="C213" s="396"/>
      <c r="D213" s="382"/>
      <c r="E213" s="397"/>
      <c r="F213" s="397"/>
      <c r="G213" s="397"/>
      <c r="H213" s="397"/>
      <c r="I213" s="397"/>
      <c r="J213" s="397"/>
    </row>
    <row r="214" spans="1:10" ht="16.5">
      <c r="A214" s="382"/>
      <c r="B214" s="395"/>
      <c r="C214" s="396"/>
      <c r="D214" s="382"/>
      <c r="E214" s="397"/>
      <c r="F214" s="397"/>
      <c r="G214" s="397"/>
      <c r="H214" s="397"/>
      <c r="I214" s="397"/>
      <c r="J214" s="397"/>
    </row>
    <row r="215" spans="1:10" ht="16.5">
      <c r="A215" s="382"/>
      <c r="B215" s="395"/>
      <c r="C215" s="396"/>
      <c r="D215" s="382"/>
      <c r="E215" s="397"/>
      <c r="F215" s="397"/>
      <c r="G215" s="397"/>
      <c r="H215" s="397"/>
      <c r="I215" s="397"/>
      <c r="J215" s="397"/>
    </row>
    <row r="216" spans="1:10" ht="16.5">
      <c r="A216" s="382"/>
      <c r="B216" s="395"/>
      <c r="C216" s="396"/>
      <c r="D216" s="382"/>
      <c r="E216" s="397"/>
      <c r="F216" s="397"/>
      <c r="G216" s="397"/>
      <c r="H216" s="397"/>
      <c r="I216" s="397"/>
      <c r="J216" s="397"/>
    </row>
    <row r="217" spans="1:10" ht="16.5">
      <c r="A217" s="382"/>
      <c r="B217" s="395"/>
      <c r="C217" s="396"/>
      <c r="D217" s="382"/>
      <c r="E217" s="397"/>
      <c r="F217" s="397"/>
      <c r="G217" s="397"/>
      <c r="H217" s="397"/>
      <c r="I217" s="397"/>
      <c r="J217" s="397"/>
    </row>
    <row r="218" spans="1:10" ht="16.5">
      <c r="A218" s="382"/>
      <c r="B218" s="395"/>
      <c r="C218" s="396"/>
      <c r="D218" s="382"/>
      <c r="E218" s="397"/>
      <c r="F218" s="397"/>
      <c r="G218" s="397"/>
      <c r="H218" s="397"/>
      <c r="I218" s="397"/>
      <c r="J218" s="397"/>
    </row>
    <row r="219" spans="1:10" ht="16.5">
      <c r="A219" s="382"/>
      <c r="B219" s="395"/>
      <c r="C219" s="396"/>
      <c r="D219" s="382"/>
      <c r="E219" s="397"/>
      <c r="F219" s="397"/>
      <c r="G219" s="397"/>
      <c r="H219" s="397"/>
      <c r="I219" s="397"/>
      <c r="J219" s="397"/>
    </row>
    <row r="220" spans="1:10" ht="16.5">
      <c r="A220" s="382"/>
      <c r="B220" s="395"/>
      <c r="C220" s="396"/>
      <c r="D220" s="382"/>
      <c r="E220" s="397"/>
      <c r="F220" s="397"/>
      <c r="G220" s="397"/>
      <c r="H220" s="397"/>
      <c r="I220" s="397"/>
      <c r="J220" s="397"/>
    </row>
    <row r="221" spans="1:10" ht="16.5">
      <c r="A221" s="382"/>
      <c r="B221" s="395"/>
      <c r="C221" s="396"/>
      <c r="D221" s="382"/>
      <c r="E221" s="397"/>
      <c r="F221" s="397"/>
      <c r="G221" s="397"/>
      <c r="H221" s="397"/>
      <c r="I221" s="397"/>
      <c r="J221" s="397"/>
    </row>
    <row r="222" spans="1:10" ht="16.5">
      <c r="A222" s="382"/>
      <c r="B222" s="395"/>
      <c r="C222" s="396"/>
      <c r="D222" s="382"/>
      <c r="E222" s="397"/>
      <c r="F222" s="397"/>
      <c r="G222" s="397"/>
      <c r="H222" s="397"/>
      <c r="I222" s="397"/>
      <c r="J222" s="397"/>
    </row>
    <row r="223" spans="1:10" ht="16.5">
      <c r="A223" s="382"/>
      <c r="B223" s="395"/>
      <c r="C223" s="396"/>
      <c r="D223" s="382"/>
      <c r="E223" s="397"/>
      <c r="F223" s="397"/>
      <c r="G223" s="397"/>
      <c r="H223" s="397"/>
      <c r="I223" s="397"/>
      <c r="J223" s="397"/>
    </row>
    <row r="224" spans="1:10" ht="16.5">
      <c r="A224" s="382"/>
      <c r="B224" s="395"/>
      <c r="C224" s="396"/>
      <c r="D224" s="382"/>
      <c r="E224" s="397"/>
      <c r="F224" s="397"/>
      <c r="G224" s="397"/>
      <c r="H224" s="397"/>
      <c r="I224" s="397"/>
      <c r="J224" s="397"/>
    </row>
    <row r="225" spans="1:10" ht="16.5">
      <c r="A225" s="382"/>
      <c r="B225" s="395"/>
      <c r="C225" s="396"/>
      <c r="D225" s="382"/>
      <c r="E225" s="397"/>
      <c r="F225" s="397"/>
      <c r="G225" s="397"/>
      <c r="H225" s="397"/>
      <c r="I225" s="397"/>
      <c r="J225" s="397"/>
    </row>
    <row r="226" spans="1:10" ht="16.5">
      <c r="A226" s="382"/>
      <c r="B226" s="395"/>
      <c r="C226" s="396"/>
      <c r="D226" s="382"/>
      <c r="E226" s="397"/>
      <c r="F226" s="397"/>
      <c r="G226" s="397"/>
      <c r="H226" s="397"/>
      <c r="I226" s="397"/>
      <c r="J226" s="397"/>
    </row>
    <row r="227" spans="1:10" ht="16.5">
      <c r="A227" s="382"/>
      <c r="B227" s="395"/>
      <c r="C227" s="396"/>
      <c r="D227" s="382"/>
      <c r="E227" s="397"/>
      <c r="F227" s="397"/>
      <c r="G227" s="397"/>
      <c r="H227" s="397"/>
      <c r="I227" s="397"/>
      <c r="J227" s="397"/>
    </row>
    <row r="228" spans="1:10" ht="16.5">
      <c r="A228" s="382"/>
      <c r="B228" s="395"/>
      <c r="C228" s="396"/>
      <c r="D228" s="382"/>
      <c r="E228" s="397"/>
      <c r="F228" s="397"/>
      <c r="G228" s="397"/>
      <c r="H228" s="397"/>
      <c r="I228" s="397"/>
      <c r="J228" s="397"/>
    </row>
    <row r="229" spans="1:10" ht="16.5">
      <c r="A229" s="382"/>
      <c r="B229" s="395"/>
      <c r="C229" s="396"/>
      <c r="D229" s="382"/>
      <c r="E229" s="397"/>
      <c r="F229" s="397"/>
      <c r="G229" s="397"/>
      <c r="H229" s="397"/>
      <c r="I229" s="397"/>
      <c r="J229" s="397"/>
    </row>
    <row r="230" spans="1:10" ht="16.5">
      <c r="A230" s="382"/>
      <c r="B230" s="395"/>
      <c r="C230" s="396"/>
      <c r="D230" s="382"/>
      <c r="E230" s="397"/>
      <c r="F230" s="397"/>
      <c r="G230" s="397"/>
      <c r="H230" s="397"/>
      <c r="I230" s="397"/>
      <c r="J230" s="397"/>
    </row>
    <row r="231" spans="1:10" ht="16.5">
      <c r="A231" s="382"/>
      <c r="B231" s="395"/>
      <c r="C231" s="396"/>
      <c r="D231" s="382"/>
      <c r="E231" s="397"/>
      <c r="F231" s="397"/>
      <c r="G231" s="397"/>
      <c r="H231" s="397"/>
      <c r="I231" s="397"/>
      <c r="J231" s="397"/>
    </row>
    <row r="232" spans="1:10" ht="16.5">
      <c r="A232" s="382"/>
      <c r="B232" s="395"/>
      <c r="C232" s="396"/>
      <c r="D232" s="382"/>
      <c r="E232" s="397"/>
      <c r="F232" s="397"/>
      <c r="G232" s="397"/>
      <c r="H232" s="397"/>
      <c r="I232" s="397"/>
      <c r="J232" s="397"/>
    </row>
    <row r="233" spans="1:10" ht="16.5">
      <c r="A233" s="382"/>
      <c r="B233" s="395"/>
      <c r="C233" s="396"/>
      <c r="D233" s="382"/>
      <c r="E233" s="397"/>
      <c r="F233" s="397"/>
      <c r="G233" s="397"/>
      <c r="H233" s="397"/>
      <c r="I233" s="397"/>
      <c r="J233" s="397"/>
    </row>
    <row r="234" spans="1:10" ht="16.5">
      <c r="A234" s="382"/>
      <c r="B234" s="395"/>
      <c r="C234" s="396"/>
      <c r="D234" s="382"/>
      <c r="E234" s="397"/>
      <c r="F234" s="397"/>
      <c r="G234" s="397"/>
      <c r="H234" s="397"/>
      <c r="I234" s="397"/>
      <c r="J234" s="397"/>
    </row>
    <row r="235" spans="1:10" ht="16.5">
      <c r="A235" s="382"/>
      <c r="B235" s="395"/>
      <c r="C235" s="396"/>
      <c r="D235" s="382"/>
      <c r="E235" s="397"/>
      <c r="F235" s="397"/>
      <c r="G235" s="397"/>
      <c r="H235" s="397"/>
      <c r="I235" s="397"/>
      <c r="J235" s="397"/>
    </row>
    <row r="236" spans="1:10" ht="16.5">
      <c r="A236" s="382"/>
      <c r="B236" s="395"/>
      <c r="C236" s="396"/>
      <c r="D236" s="382"/>
      <c r="E236" s="397"/>
      <c r="F236" s="397"/>
      <c r="G236" s="397"/>
      <c r="H236" s="397"/>
      <c r="I236" s="397"/>
      <c r="J236" s="397"/>
    </row>
    <row r="237" spans="1:10" ht="16.5">
      <c r="A237" s="382"/>
      <c r="B237" s="395"/>
      <c r="C237" s="396"/>
      <c r="D237" s="382"/>
      <c r="E237" s="397"/>
      <c r="F237" s="397"/>
      <c r="G237" s="397"/>
      <c r="H237" s="397"/>
      <c r="I237" s="397"/>
      <c r="J237" s="397"/>
    </row>
    <row r="238" spans="1:10" ht="16.5">
      <c r="A238" s="382"/>
      <c r="B238" s="395"/>
      <c r="C238" s="396"/>
      <c r="D238" s="382"/>
      <c r="E238" s="397"/>
      <c r="F238" s="397"/>
      <c r="G238" s="397"/>
      <c r="H238" s="397"/>
      <c r="I238" s="397"/>
      <c r="J238" s="397"/>
    </row>
    <row r="239" spans="1:10" ht="16.5">
      <c r="A239" s="382"/>
      <c r="B239" s="395"/>
      <c r="C239" s="396"/>
      <c r="D239" s="382"/>
      <c r="E239" s="397"/>
      <c r="F239" s="397"/>
      <c r="G239" s="397"/>
      <c r="H239" s="397"/>
      <c r="I239" s="397"/>
      <c r="J239" s="397"/>
    </row>
    <row r="240" spans="1:10" ht="16.5">
      <c r="A240" s="382"/>
      <c r="B240" s="395"/>
      <c r="C240" s="396"/>
      <c r="D240" s="382"/>
      <c r="E240" s="397"/>
      <c r="F240" s="397"/>
      <c r="G240" s="397"/>
      <c r="H240" s="397"/>
      <c r="I240" s="397"/>
      <c r="J240" s="397"/>
    </row>
    <row r="241" spans="1:10" ht="16.5">
      <c r="A241" s="382"/>
      <c r="B241" s="395"/>
      <c r="C241" s="396"/>
      <c r="D241" s="382"/>
      <c r="E241" s="397"/>
      <c r="F241" s="397"/>
      <c r="G241" s="397"/>
      <c r="H241" s="397"/>
      <c r="I241" s="397"/>
      <c r="J241" s="397"/>
    </row>
    <row r="242" spans="1:10" ht="16.5">
      <c r="A242" s="382"/>
      <c r="B242" s="395"/>
      <c r="C242" s="396"/>
      <c r="D242" s="382"/>
      <c r="E242" s="397"/>
      <c r="F242" s="397"/>
      <c r="G242" s="397"/>
      <c r="H242" s="397"/>
      <c r="I242" s="397"/>
      <c r="J242" s="397"/>
    </row>
    <row r="243" spans="1:10" ht="16.5">
      <c r="A243" s="382"/>
      <c r="B243" s="395"/>
      <c r="C243" s="396"/>
      <c r="D243" s="382"/>
      <c r="E243" s="397"/>
      <c r="F243" s="397"/>
      <c r="G243" s="397"/>
      <c r="H243" s="397"/>
      <c r="I243" s="397"/>
      <c r="J243" s="397"/>
    </row>
    <row r="244" spans="1:10" ht="16.5">
      <c r="A244" s="382"/>
      <c r="B244" s="395"/>
      <c r="C244" s="396"/>
      <c r="D244" s="382"/>
      <c r="E244" s="397"/>
      <c r="F244" s="397"/>
      <c r="G244" s="397"/>
      <c r="H244" s="397"/>
      <c r="I244" s="397"/>
      <c r="J244" s="397"/>
    </row>
    <row r="245" spans="1:10" ht="16.5">
      <c r="A245" s="382"/>
      <c r="B245" s="395"/>
      <c r="C245" s="396"/>
      <c r="D245" s="382"/>
      <c r="E245" s="397"/>
      <c r="F245" s="397"/>
      <c r="G245" s="397"/>
      <c r="H245" s="397"/>
      <c r="I245" s="397"/>
      <c r="J245" s="397"/>
    </row>
    <row r="246" spans="1:10" ht="16.5">
      <c r="A246" s="382"/>
      <c r="B246" s="395"/>
      <c r="C246" s="396"/>
      <c r="D246" s="382"/>
      <c r="E246" s="397"/>
      <c r="F246" s="397"/>
      <c r="G246" s="397"/>
      <c r="H246" s="397"/>
      <c r="I246" s="397"/>
      <c r="J246" s="397"/>
    </row>
    <row r="247" spans="1:10" ht="16.5">
      <c r="A247" s="382"/>
      <c r="B247" s="395"/>
      <c r="C247" s="396"/>
      <c r="D247" s="382"/>
      <c r="E247" s="397"/>
      <c r="F247" s="397"/>
      <c r="G247" s="397"/>
      <c r="H247" s="397"/>
      <c r="I247" s="397"/>
      <c r="J247" s="397"/>
    </row>
    <row r="248" spans="1:10" ht="16.5">
      <c r="A248" s="382"/>
      <c r="B248" s="395"/>
      <c r="C248" s="396"/>
      <c r="D248" s="382"/>
      <c r="E248" s="397"/>
      <c r="F248" s="397"/>
      <c r="G248" s="397"/>
      <c r="H248" s="397"/>
      <c r="I248" s="397"/>
      <c r="J248" s="397"/>
    </row>
    <row r="249" spans="1:10" ht="16.5">
      <c r="A249" s="382"/>
      <c r="B249" s="395"/>
      <c r="C249" s="396"/>
      <c r="D249" s="382"/>
      <c r="E249" s="397"/>
      <c r="F249" s="397"/>
      <c r="G249" s="397"/>
      <c r="H249" s="397"/>
      <c r="I249" s="397"/>
      <c r="J249" s="397"/>
    </row>
  </sheetData>
  <sheetProtection/>
  <mergeCells count="4">
    <mergeCell ref="A3:J3"/>
    <mergeCell ref="A4:J4"/>
    <mergeCell ref="B2:J2"/>
    <mergeCell ref="B21:D21"/>
  </mergeCells>
  <printOptions horizontalCentered="1"/>
  <pageMargins left="0" right="0" top="0" bottom="0" header="0.5118110236220472" footer="0.4724409448818898"/>
  <pageSetup fitToHeight="0" fitToWidth="1" horizontalDpi="600" verticalDpi="600" orientation="landscape" paperSize="9" scale="86" r:id="rId1"/>
  <headerFooter alignWithMargins="0">
    <oddFooter>&amp;R&amp;"Times New Roman,Regular"&amp;12&amp;P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4:S16"/>
  <sheetViews>
    <sheetView zoomScalePageLayoutView="0" workbookViewId="0" topLeftCell="A1">
      <selection activeCell="A28" sqref="A28"/>
    </sheetView>
  </sheetViews>
  <sheetFormatPr defaultColWidth="9.140625" defaultRowHeight="12.75"/>
  <cols>
    <col min="2" max="2" width="7.00390625" style="0" customWidth="1"/>
    <col min="4" max="4" width="7.8515625" style="0" customWidth="1"/>
    <col min="5" max="5" width="8.57421875" style="0" customWidth="1"/>
    <col min="6" max="7" width="7.140625" style="0" customWidth="1"/>
    <col min="8" max="8" width="7.00390625" style="0" customWidth="1"/>
    <col min="9" max="9" width="6.8515625" style="0" customWidth="1"/>
    <col min="10" max="10" width="7.8515625" style="0" customWidth="1"/>
    <col min="11" max="11" width="7.421875" style="0" customWidth="1"/>
    <col min="12" max="12" width="7.140625" style="0" customWidth="1"/>
    <col min="13" max="13" width="7.57421875" style="0" customWidth="1"/>
    <col min="14" max="14" width="7.421875" style="0" customWidth="1"/>
    <col min="15" max="15" width="7.57421875" style="0" customWidth="1"/>
    <col min="16" max="16" width="9.8515625" style="0" customWidth="1"/>
    <col min="17" max="17" width="7.421875" style="0" customWidth="1"/>
  </cols>
  <sheetData>
    <row r="4" spans="1:18" ht="12.75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101" t="s">
        <v>93</v>
      </c>
    </row>
    <row r="5" spans="1:17" ht="12.75">
      <c r="A5" s="94"/>
      <c r="B5" s="94">
        <v>2010</v>
      </c>
      <c r="C5" s="1846">
        <v>2011</v>
      </c>
      <c r="D5" s="1846"/>
      <c r="E5" s="1846"/>
      <c r="F5" s="1846">
        <v>2012</v>
      </c>
      <c r="G5" s="1846"/>
      <c r="H5" s="1846"/>
      <c r="I5" s="1846">
        <v>2013</v>
      </c>
      <c r="J5" s="1846"/>
      <c r="K5" s="1846"/>
      <c r="L5" s="1846">
        <v>2014</v>
      </c>
      <c r="M5" s="1846"/>
      <c r="N5" s="1846"/>
      <c r="O5" s="1846">
        <v>2015</v>
      </c>
      <c r="P5" s="1846"/>
      <c r="Q5" s="1846"/>
    </row>
    <row r="6" spans="1:19" ht="15">
      <c r="A6" s="94"/>
      <c r="B6" s="94"/>
      <c r="C6" s="95" t="s">
        <v>88</v>
      </c>
      <c r="D6" s="95" t="s">
        <v>89</v>
      </c>
      <c r="E6" s="95" t="s">
        <v>90</v>
      </c>
      <c r="F6" s="96" t="s">
        <v>88</v>
      </c>
      <c r="G6" s="96" t="s">
        <v>89</v>
      </c>
      <c r="H6" s="96" t="s">
        <v>90</v>
      </c>
      <c r="I6" s="95" t="s">
        <v>88</v>
      </c>
      <c r="J6" s="95" t="s">
        <v>89</v>
      </c>
      <c r="K6" s="95" t="s">
        <v>90</v>
      </c>
      <c r="L6" s="96" t="s">
        <v>88</v>
      </c>
      <c r="M6" s="96" t="s">
        <v>89</v>
      </c>
      <c r="N6" s="96" t="s">
        <v>90</v>
      </c>
      <c r="O6" s="95" t="s">
        <v>88</v>
      </c>
      <c r="P6" s="95" t="s">
        <v>89</v>
      </c>
      <c r="Q6" s="95" t="s">
        <v>90</v>
      </c>
      <c r="R6" s="102" t="s">
        <v>88</v>
      </c>
      <c r="S6" s="102" t="s">
        <v>89</v>
      </c>
    </row>
    <row r="7" spans="1:19" ht="57">
      <c r="A7" s="97" t="s">
        <v>10</v>
      </c>
      <c r="B7" s="94">
        <v>1968.55</v>
      </c>
      <c r="C7" s="94">
        <f>B7*(1+C11%)*(1+C14)</f>
        <v>2264.22621</v>
      </c>
      <c r="D7" s="94">
        <f>C7*(1+D11%)*(1+D14)</f>
        <v>2628.76662981</v>
      </c>
      <c r="E7" s="94">
        <f>(C7+D7)/2</f>
        <v>2446.496419905</v>
      </c>
      <c r="F7" s="94">
        <f>E7*(1+F11%)*(1+F14)</f>
        <v>2819.244614441726</v>
      </c>
      <c r="G7" s="94">
        <f>E7*(1+G11%)*(1+G14)</f>
        <v>2845.6667757767</v>
      </c>
      <c r="H7" s="94">
        <f>(F7+G7)/2</f>
        <v>2832.4556951092127</v>
      </c>
      <c r="I7" s="94">
        <f>H7*(1+I11%)*(1+I14)</f>
        <v>3270.126749117488</v>
      </c>
      <c r="J7" s="94">
        <f>H7*(1+J11%)*(1+J14)</f>
        <v>3300.717270624668</v>
      </c>
      <c r="K7" s="94">
        <f>(I7+J7)/2</f>
        <v>3285.422009871078</v>
      </c>
      <c r="L7" s="94">
        <f>K7*(1+L11%)*(1+L14)</f>
        <v>3803.7301861483397</v>
      </c>
      <c r="M7" s="94">
        <f>K7*(1+M11%)*(1+M14)</f>
        <v>3839.2127438549473</v>
      </c>
      <c r="N7" s="94">
        <f>(L7+M7)/2</f>
        <v>3821.4714650016435</v>
      </c>
      <c r="O7" s="94">
        <f>N7*(1+O11%)*(1+O14)</f>
        <v>4436.728370866908</v>
      </c>
      <c r="P7" s="94">
        <f>N7*(1+P11%)*(1+P14)</f>
        <v>4478.000262688925</v>
      </c>
      <c r="Q7" s="94">
        <f>(O7+P7)/2</f>
        <v>4457.364316777917</v>
      </c>
      <c r="R7">
        <f>C7+F7+I7+L7+O7</f>
        <v>16594.05613057446</v>
      </c>
      <c r="S7">
        <f>D7+G7+J7+M7+P7</f>
        <v>17092.36368275524</v>
      </c>
    </row>
    <row r="8" spans="1:19" ht="42.75">
      <c r="A8" s="97" t="s">
        <v>11</v>
      </c>
      <c r="B8" s="94">
        <v>108.15</v>
      </c>
      <c r="C8" s="94">
        <f>C7/C15</f>
        <v>121.73259193548385</v>
      </c>
      <c r="D8" s="94">
        <f>D7/D15</f>
        <v>141.33153923709676</v>
      </c>
      <c r="E8" s="94"/>
      <c r="F8" s="94">
        <f>F7/F15</f>
        <v>147.604430075483</v>
      </c>
      <c r="G8" s="94">
        <f>G7/G15</f>
        <v>148.98778930768063</v>
      </c>
      <c r="H8" s="94"/>
      <c r="I8" s="94">
        <f>I7/I15</f>
        <v>166.84320148558612</v>
      </c>
      <c r="J8" s="94">
        <f>J7/J15</f>
        <v>168.40394237880957</v>
      </c>
      <c r="K8" s="94"/>
      <c r="L8" s="94">
        <f>L7/L15</f>
        <v>187.37587123883446</v>
      </c>
      <c r="M8" s="94">
        <f>M7/M15</f>
        <v>189.12378048546537</v>
      </c>
      <c r="N8" s="94"/>
      <c r="O8" s="94">
        <f>O7/O15</f>
        <v>212.28365410846453</v>
      </c>
      <c r="P8" s="94">
        <f>P7/P15</f>
        <v>214.25838577458975</v>
      </c>
      <c r="Q8" s="94"/>
      <c r="R8">
        <f>C8+F8+I8+L8+O8</f>
        <v>835.839748843852</v>
      </c>
      <c r="S8">
        <f>D8+G8+J8+M8+P8</f>
        <v>862.105437183642</v>
      </c>
    </row>
    <row r="9" spans="1:19" ht="71.25">
      <c r="A9" s="97" t="s">
        <v>12</v>
      </c>
      <c r="B9" s="94">
        <v>1225.5</v>
      </c>
      <c r="C9" s="94">
        <f>C8*1000/C16</f>
        <v>1363.9506099213877</v>
      </c>
      <c r="D9" s="94">
        <f>D8*1000/D16</f>
        <v>1583.546658118731</v>
      </c>
      <c r="E9" s="94"/>
      <c r="F9" s="94">
        <f>F8*1000/F16</f>
        <v>1635.5061504208645</v>
      </c>
      <c r="G9" s="94">
        <f>G8*1000/G16</f>
        <v>1650.834230556018</v>
      </c>
      <c r="H9" s="94"/>
      <c r="I9" s="94">
        <f>I8*1000/I16</f>
        <v>1832.2337083855273</v>
      </c>
      <c r="J9" s="94">
        <f>J8*1000/J16</f>
        <v>1849.3734063124268</v>
      </c>
      <c r="K9" s="94"/>
      <c r="L9" s="94">
        <f>L8*1000/L16</f>
        <v>2039.7982934774054</v>
      </c>
      <c r="M9" s="94">
        <f>M8*1000/M16</f>
        <v>2058.826262632978</v>
      </c>
      <c r="N9" s="94"/>
      <c r="O9" s="94">
        <f>O8*1000/O16</f>
        <v>2291.242893777275</v>
      </c>
      <c r="P9" s="94">
        <f>P8*1000/P16</f>
        <v>2312.556781161249</v>
      </c>
      <c r="Q9" s="94"/>
      <c r="R9">
        <f>O9</f>
        <v>2291.242893777275</v>
      </c>
      <c r="S9">
        <f>P9</f>
        <v>2312.556781161249</v>
      </c>
    </row>
    <row r="10" spans="1:17" ht="12.75">
      <c r="A10" s="94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</row>
    <row r="11" spans="1:17" ht="45">
      <c r="A11" s="98" t="s">
        <v>5</v>
      </c>
      <c r="B11" s="94"/>
      <c r="C11" s="94">
        <v>6.5</v>
      </c>
      <c r="D11" s="94">
        <v>7.5</v>
      </c>
      <c r="E11" s="94"/>
      <c r="F11" s="94">
        <v>6.7</v>
      </c>
      <c r="G11" s="94">
        <v>7.7</v>
      </c>
      <c r="H11" s="94"/>
      <c r="I11" s="94">
        <v>6.9</v>
      </c>
      <c r="J11" s="94">
        <v>7.9</v>
      </c>
      <c r="K11" s="94"/>
      <c r="L11" s="94">
        <v>7.2</v>
      </c>
      <c r="M11" s="94">
        <v>8.2</v>
      </c>
      <c r="N11" s="94"/>
      <c r="O11" s="94">
        <v>7.5</v>
      </c>
      <c r="P11" s="94">
        <v>8.5</v>
      </c>
      <c r="Q11" s="94"/>
    </row>
    <row r="12" spans="1:17" ht="12.75">
      <c r="A12" s="94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</row>
    <row r="13" spans="1:17" ht="12.75">
      <c r="A13" s="94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</row>
    <row r="14" spans="1:17" ht="12.75">
      <c r="A14" s="94" t="s">
        <v>87</v>
      </c>
      <c r="B14" s="94"/>
      <c r="C14" s="99">
        <v>0.08</v>
      </c>
      <c r="D14" s="99">
        <v>0.08</v>
      </c>
      <c r="E14" s="99">
        <v>0.08</v>
      </c>
      <c r="F14" s="99">
        <v>0.08</v>
      </c>
      <c r="G14" s="99">
        <v>0.08</v>
      </c>
      <c r="H14" s="99">
        <v>0.08</v>
      </c>
      <c r="I14" s="99">
        <v>0.08</v>
      </c>
      <c r="J14" s="99">
        <v>0.08</v>
      </c>
      <c r="K14" s="99">
        <v>0.08</v>
      </c>
      <c r="L14" s="99">
        <v>0.08</v>
      </c>
      <c r="M14" s="99">
        <v>0.08</v>
      </c>
      <c r="N14" s="99">
        <v>0.08</v>
      </c>
      <c r="O14" s="99">
        <v>0.08</v>
      </c>
      <c r="P14" s="99">
        <v>0.08</v>
      </c>
      <c r="Q14" s="99">
        <v>0.08</v>
      </c>
    </row>
    <row r="15" spans="1:17" ht="12.75">
      <c r="A15" s="94" t="s">
        <v>91</v>
      </c>
      <c r="B15" s="94"/>
      <c r="C15" s="94">
        <v>18.6</v>
      </c>
      <c r="D15" s="94">
        <v>18.6</v>
      </c>
      <c r="E15" s="94">
        <v>18.6</v>
      </c>
      <c r="F15" s="94">
        <v>19.1</v>
      </c>
      <c r="G15" s="94">
        <v>19.1</v>
      </c>
      <c r="H15" s="94">
        <v>19.1</v>
      </c>
      <c r="I15" s="94">
        <v>19.6</v>
      </c>
      <c r="J15" s="94">
        <v>19.6</v>
      </c>
      <c r="K15" s="94">
        <v>19.6</v>
      </c>
      <c r="L15" s="94">
        <v>20.3</v>
      </c>
      <c r="M15" s="94">
        <v>20.3</v>
      </c>
      <c r="N15" s="94">
        <v>20.3</v>
      </c>
      <c r="O15" s="94">
        <v>20.9</v>
      </c>
      <c r="P15" s="94">
        <v>20.9</v>
      </c>
      <c r="Q15" s="94">
        <v>20.9</v>
      </c>
    </row>
    <row r="16" spans="1:17" ht="14.25">
      <c r="A16" s="94" t="s">
        <v>92</v>
      </c>
      <c r="B16" s="94"/>
      <c r="C16" s="100">
        <v>89.25</v>
      </c>
      <c r="D16" s="100">
        <v>89.25</v>
      </c>
      <c r="E16" s="100">
        <v>89.25</v>
      </c>
      <c r="F16" s="100">
        <v>90.25</v>
      </c>
      <c r="G16" s="100">
        <v>90.25</v>
      </c>
      <c r="H16" s="100">
        <v>90.25</v>
      </c>
      <c r="I16" s="100">
        <v>91.06</v>
      </c>
      <c r="J16" s="100">
        <v>91.06</v>
      </c>
      <c r="K16" s="100">
        <v>91.06</v>
      </c>
      <c r="L16" s="100">
        <v>91.86</v>
      </c>
      <c r="M16" s="100">
        <v>91.86</v>
      </c>
      <c r="N16" s="100">
        <v>91.86</v>
      </c>
      <c r="O16" s="100">
        <v>92.65</v>
      </c>
      <c r="P16" s="100">
        <v>92.65</v>
      </c>
      <c r="Q16" s="100">
        <v>92.65</v>
      </c>
    </row>
  </sheetData>
  <sheetProtection/>
  <mergeCells count="5">
    <mergeCell ref="O5:Q5"/>
    <mergeCell ref="C5:E5"/>
    <mergeCell ref="F5:H5"/>
    <mergeCell ref="I5:K5"/>
    <mergeCell ref="L5:N5"/>
  </mergeCells>
  <printOptions/>
  <pageMargins left="0.28" right="0.16" top="0.7480314960629921" bottom="0.7480314960629921" header="0.31496062992125984" footer="0.3149606299212598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L27"/>
  <sheetViews>
    <sheetView zoomScalePageLayoutView="0" workbookViewId="0" topLeftCell="A10">
      <selection activeCell="A28" sqref="A28"/>
    </sheetView>
  </sheetViews>
  <sheetFormatPr defaultColWidth="9.140625" defaultRowHeight="12.75"/>
  <cols>
    <col min="1" max="1" width="23.421875" style="0" bestFit="1" customWidth="1"/>
    <col min="2" max="2" width="9.8515625" style="0" bestFit="1" customWidth="1"/>
  </cols>
  <sheetData>
    <row r="2" spans="2:12" ht="27.75" customHeight="1">
      <c r="B2" t="s">
        <v>104</v>
      </c>
      <c r="C2" s="1847">
        <v>2011</v>
      </c>
      <c r="D2" s="1847"/>
      <c r="E2" s="1847">
        <v>2012</v>
      </c>
      <c r="F2" s="1847"/>
      <c r="G2" s="1847">
        <v>2013</v>
      </c>
      <c r="H2" s="1847"/>
      <c r="I2" s="1847">
        <v>2014</v>
      </c>
      <c r="J2" s="1847"/>
      <c r="K2" s="1847">
        <v>2015</v>
      </c>
      <c r="L2" s="1847"/>
    </row>
    <row r="3" spans="3:12" ht="27.75" customHeight="1">
      <c r="C3" t="s">
        <v>88</v>
      </c>
      <c r="D3" t="s">
        <v>89</v>
      </c>
      <c r="E3" t="s">
        <v>88</v>
      </c>
      <c r="F3" t="s">
        <v>89</v>
      </c>
      <c r="G3" t="s">
        <v>88</v>
      </c>
      <c r="H3" t="s">
        <v>89</v>
      </c>
      <c r="I3" t="s">
        <v>88</v>
      </c>
      <c r="J3" t="s">
        <v>89</v>
      </c>
      <c r="K3" t="s">
        <v>88</v>
      </c>
      <c r="L3" t="s">
        <v>89</v>
      </c>
    </row>
    <row r="4" spans="1:12" ht="27.75" customHeight="1">
      <c r="A4" t="s">
        <v>94</v>
      </c>
      <c r="B4" t="s">
        <v>105</v>
      </c>
      <c r="C4" t="e">
        <f>C5+C7</f>
        <v>#REF!</v>
      </c>
      <c r="D4" t="e">
        <f>D5+C7</f>
        <v>#REF!</v>
      </c>
      <c r="E4" t="e">
        <f>E5+E7</f>
        <v>#REF!</v>
      </c>
      <c r="F4" t="e">
        <f>F5+E7</f>
        <v>#REF!</v>
      </c>
      <c r="G4" t="e">
        <f>G5+G7</f>
        <v>#REF!</v>
      </c>
      <c r="H4" t="e">
        <f>H5+G7</f>
        <v>#REF!</v>
      </c>
      <c r="I4" t="e">
        <f>I5+I7</f>
        <v>#REF!</v>
      </c>
      <c r="J4" t="e">
        <f>J5+I7</f>
        <v>#REF!</v>
      </c>
      <c r="K4" t="e">
        <f>K5+K7</f>
        <v>#REF!</v>
      </c>
      <c r="L4" t="e">
        <f>L5+K7</f>
        <v>#REF!</v>
      </c>
    </row>
    <row r="5" spans="1:12" ht="27.75" customHeight="1">
      <c r="A5" t="s">
        <v>39</v>
      </c>
      <c r="B5" t="s">
        <v>105</v>
      </c>
      <c r="C5">
        <f>Sheet1!C7</f>
        <v>2264.22621</v>
      </c>
      <c r="D5">
        <f>Sheet1!D7</f>
        <v>2628.76662981</v>
      </c>
      <c r="E5">
        <f>Sheet1!F7</f>
        <v>2819.244614441726</v>
      </c>
      <c r="F5">
        <f>Sheet1!G7</f>
        <v>2845.6667757767</v>
      </c>
      <c r="G5">
        <f>Sheet1!I7</f>
        <v>3270.126749117488</v>
      </c>
      <c r="H5">
        <f>Sheet1!J7</f>
        <v>3300.717270624668</v>
      </c>
      <c r="I5">
        <f>Sheet1!L7</f>
        <v>3803.7301861483397</v>
      </c>
      <c r="J5">
        <f>Sheet1!M7</f>
        <v>3839.2127438549473</v>
      </c>
      <c r="K5">
        <f>Sheet1!O7</f>
        <v>4436.728370866908</v>
      </c>
      <c r="L5">
        <f>Sheet1!P7</f>
        <v>4478.000262688925</v>
      </c>
    </row>
    <row r="6" spans="1:11" ht="27.75" customHeight="1">
      <c r="A6" t="s">
        <v>95</v>
      </c>
      <c r="B6" t="s">
        <v>106</v>
      </c>
      <c r="C6" t="e">
        <f>#REF!</f>
        <v>#REF!</v>
      </c>
      <c r="E6" t="e">
        <f>#REF!</f>
        <v>#REF!</v>
      </c>
      <c r="G6" t="e">
        <f>#REF!</f>
        <v>#REF!</v>
      </c>
      <c r="I6" t="e">
        <f>#REF!</f>
        <v>#REF!</v>
      </c>
      <c r="K6" t="e">
        <f>#REF!</f>
        <v>#REF!</v>
      </c>
    </row>
    <row r="7" spans="1:11" ht="27.75" customHeight="1">
      <c r="A7" t="s">
        <v>96</v>
      </c>
      <c r="B7" t="s">
        <v>105</v>
      </c>
      <c r="C7" t="e">
        <f>C6*C17*0.9</f>
        <v>#REF!</v>
      </c>
      <c r="E7" t="e">
        <f>E6*E17*0.9</f>
        <v>#REF!</v>
      </c>
      <c r="G7" t="e">
        <f>G6*G17*0.9</f>
        <v>#REF!</v>
      </c>
      <c r="I7" t="e">
        <f>I6*I17*0.9</f>
        <v>#REF!</v>
      </c>
      <c r="K7" t="e">
        <f>K6*K17*0.9</f>
        <v>#REF!</v>
      </c>
    </row>
    <row r="8" ht="27.75" customHeight="1"/>
    <row r="9" ht="27.75" customHeight="1">
      <c r="A9" t="s">
        <v>97</v>
      </c>
    </row>
    <row r="10" ht="27.75" customHeight="1">
      <c r="A10" t="s">
        <v>98</v>
      </c>
    </row>
    <row r="11" ht="27.75" customHeight="1">
      <c r="A11" t="s">
        <v>99</v>
      </c>
    </row>
    <row r="12" ht="27.75" customHeight="1">
      <c r="A12" t="s">
        <v>100</v>
      </c>
    </row>
    <row r="13" spans="1:11" ht="27.75" customHeight="1">
      <c r="A13" t="s">
        <v>101</v>
      </c>
      <c r="C13" t="e">
        <f>#REF!</f>
        <v>#REF!</v>
      </c>
      <c r="E13" t="e">
        <f>#REF!</f>
        <v>#REF!</v>
      </c>
      <c r="G13" t="e">
        <f>#REF!</f>
        <v>#REF!</v>
      </c>
      <c r="I13" t="e">
        <f>#REF!</f>
        <v>#REF!</v>
      </c>
      <c r="K13" t="e">
        <f>#REF!</f>
        <v>#REF!</v>
      </c>
    </row>
    <row r="14" ht="27.75" customHeight="1">
      <c r="A14" t="s">
        <v>102</v>
      </c>
    </row>
    <row r="15" ht="27.75" customHeight="1">
      <c r="A15" t="s">
        <v>103</v>
      </c>
    </row>
    <row r="16" ht="27.75" customHeight="1"/>
    <row r="17" spans="1:12" ht="27.75" customHeight="1">
      <c r="A17" t="s">
        <v>91</v>
      </c>
      <c r="B17" t="s">
        <v>107</v>
      </c>
      <c r="C17">
        <f>Sheet1!C15</f>
        <v>18.6</v>
      </c>
      <c r="D17">
        <f>Sheet1!D15</f>
        <v>18.6</v>
      </c>
      <c r="E17">
        <f>Sheet1!F15</f>
        <v>19.1</v>
      </c>
      <c r="F17">
        <f>Sheet1!G15</f>
        <v>19.1</v>
      </c>
      <c r="G17">
        <f>Sheet1!I15</f>
        <v>19.6</v>
      </c>
      <c r="H17">
        <f>Sheet1!J15</f>
        <v>19.6</v>
      </c>
      <c r="I17">
        <f>Sheet1!L15</f>
        <v>20.3</v>
      </c>
      <c r="J17">
        <f>Sheet1!M15</f>
        <v>20.3</v>
      </c>
      <c r="K17">
        <f>Sheet1!O15</f>
        <v>20.9</v>
      </c>
      <c r="L17">
        <f>Sheet1!P15</f>
        <v>20.9</v>
      </c>
    </row>
    <row r="19" spans="1:3" ht="18.75" customHeight="1">
      <c r="A19" t="s">
        <v>108</v>
      </c>
      <c r="C19">
        <v>100</v>
      </c>
    </row>
    <row r="20" ht="18.75" customHeight="1">
      <c r="A20" t="s">
        <v>109</v>
      </c>
    </row>
    <row r="21" spans="1:12" ht="18.75" customHeight="1">
      <c r="A21" t="s">
        <v>110</v>
      </c>
      <c r="C21">
        <v>63.2</v>
      </c>
      <c r="D21">
        <v>63.4</v>
      </c>
      <c r="E21">
        <v>63.1</v>
      </c>
      <c r="F21">
        <v>63.3</v>
      </c>
      <c r="G21">
        <v>63</v>
      </c>
      <c r="H21">
        <v>63.2</v>
      </c>
      <c r="I21">
        <v>62.9</v>
      </c>
      <c r="J21">
        <v>63.1</v>
      </c>
      <c r="K21">
        <v>62.7</v>
      </c>
      <c r="L21">
        <v>62.9</v>
      </c>
    </row>
    <row r="22" spans="1:12" ht="18.75" customHeight="1">
      <c r="A22" t="s">
        <v>111</v>
      </c>
      <c r="C22">
        <v>36.8</v>
      </c>
      <c r="D22">
        <v>36.6</v>
      </c>
      <c r="E22">
        <v>36.9</v>
      </c>
      <c r="F22">
        <v>36.7</v>
      </c>
      <c r="G22">
        <v>37</v>
      </c>
      <c r="H22">
        <v>36.8</v>
      </c>
      <c r="I22">
        <v>37.1</v>
      </c>
      <c r="J22">
        <v>36.9</v>
      </c>
      <c r="K22">
        <v>37.3</v>
      </c>
      <c r="L22">
        <v>37.1</v>
      </c>
    </row>
    <row r="23" ht="18.75" customHeight="1"/>
    <row r="24" ht="18.75" customHeight="1">
      <c r="A24" t="s">
        <v>22</v>
      </c>
    </row>
    <row r="25" ht="18.75" customHeight="1">
      <c r="A25" t="s">
        <v>112</v>
      </c>
    </row>
    <row r="26" ht="18.75" customHeight="1">
      <c r="A26" t="s">
        <v>113</v>
      </c>
    </row>
    <row r="27" ht="18.75" customHeight="1">
      <c r="A27" t="s">
        <v>114</v>
      </c>
    </row>
  </sheetData>
  <sheetProtection/>
  <mergeCells count="5">
    <mergeCell ref="K2:L2"/>
    <mergeCell ref="C2:D2"/>
    <mergeCell ref="E2:F2"/>
    <mergeCell ref="G2:H2"/>
    <mergeCell ref="I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8"/>
  <sheetViews>
    <sheetView zoomScale="70" zoomScaleNormal="70" zoomScalePageLayoutView="0" workbookViewId="0" topLeftCell="A1">
      <selection activeCell="H13" sqref="H13"/>
    </sheetView>
  </sheetViews>
  <sheetFormatPr defaultColWidth="9.140625" defaultRowHeight="12.75"/>
  <cols>
    <col min="1" max="1" width="5.8515625" style="372" customWidth="1"/>
    <col min="2" max="2" width="45.421875" style="372" customWidth="1"/>
    <col min="3" max="3" width="16.140625" style="373" customWidth="1"/>
    <col min="4" max="4" width="14.140625" style="373" customWidth="1"/>
    <col min="5" max="8" width="12.57421875" style="372" customWidth="1"/>
    <col min="9" max="9" width="14.8515625" style="372" customWidth="1"/>
    <col min="10" max="10" width="16.57421875" style="372" customWidth="1"/>
    <col min="11" max="16384" width="9.140625" style="372" customWidth="1"/>
  </cols>
  <sheetData>
    <row r="1" spans="8:10" ht="29.25" customHeight="1">
      <c r="H1" s="365" t="s">
        <v>702</v>
      </c>
      <c r="I1" s="1796" t="s">
        <v>704</v>
      </c>
      <c r="J1" s="1796"/>
    </row>
    <row r="2" spans="2:10" ht="29.25" customHeight="1">
      <c r="B2" s="1848" t="s">
        <v>353</v>
      </c>
      <c r="C2" s="1848"/>
      <c r="D2" s="1848"/>
      <c r="E2" s="1848"/>
      <c r="F2" s="1848"/>
      <c r="G2" s="1848"/>
      <c r="H2" s="1848"/>
      <c r="I2" s="1848"/>
      <c r="J2" s="1848"/>
    </row>
    <row r="3" spans="2:10" ht="33" customHeight="1">
      <c r="B3" s="1849" t="s">
        <v>325</v>
      </c>
      <c r="C3" s="1849"/>
      <c r="D3" s="1849"/>
      <c r="E3" s="1849"/>
      <c r="F3" s="1849"/>
      <c r="G3" s="1849"/>
      <c r="H3" s="1849"/>
      <c r="I3" s="1849"/>
      <c r="J3" s="398"/>
    </row>
    <row r="4" spans="2:10" ht="45" customHeight="1">
      <c r="B4" s="1849" t="s">
        <v>722</v>
      </c>
      <c r="C4" s="1849"/>
      <c r="D4" s="1849"/>
      <c r="E4" s="1849"/>
      <c r="F4" s="1849"/>
      <c r="G4" s="1849"/>
      <c r="H4" s="1849"/>
      <c r="I4" s="1849"/>
      <c r="J4" s="1849"/>
    </row>
    <row r="5" spans="2:10" ht="30.75" customHeight="1">
      <c r="B5" s="398"/>
      <c r="C5" s="399"/>
      <c r="D5" s="399"/>
      <c r="E5" s="398"/>
      <c r="F5" s="398"/>
      <c r="G5" s="398"/>
      <c r="H5" s="398"/>
      <c r="I5" s="398"/>
      <c r="J5" s="398"/>
    </row>
    <row r="6" spans="1:10" ht="82.5" customHeight="1">
      <c r="A6" s="556" t="s">
        <v>0</v>
      </c>
      <c r="B6" s="401" t="s">
        <v>211</v>
      </c>
      <c r="C6" s="401" t="s">
        <v>104</v>
      </c>
      <c r="D6" s="383" t="s">
        <v>694</v>
      </c>
      <c r="E6" s="383" t="s">
        <v>695</v>
      </c>
      <c r="F6" s="383" t="s">
        <v>696</v>
      </c>
      <c r="G6" s="383" t="s">
        <v>697</v>
      </c>
      <c r="H6" s="383" t="s">
        <v>698</v>
      </c>
      <c r="I6" s="383" t="s">
        <v>699</v>
      </c>
      <c r="J6" s="383" t="s">
        <v>700</v>
      </c>
    </row>
    <row r="7" spans="1:10" ht="30" customHeight="1">
      <c r="A7" s="556" t="s">
        <v>29</v>
      </c>
      <c r="B7" s="400" t="s">
        <v>357</v>
      </c>
      <c r="C7" s="402"/>
      <c r="D7" s="402"/>
      <c r="E7" s="403"/>
      <c r="F7" s="403"/>
      <c r="G7" s="403"/>
      <c r="H7" s="403"/>
      <c r="I7" s="403"/>
      <c r="J7" s="403"/>
    </row>
    <row r="8" spans="1:10" ht="30" customHeight="1">
      <c r="A8" s="556">
        <v>1</v>
      </c>
      <c r="B8" s="403" t="s">
        <v>358</v>
      </c>
      <c r="C8" s="402"/>
      <c r="D8" s="402"/>
      <c r="E8" s="403"/>
      <c r="F8" s="403"/>
      <c r="G8" s="403"/>
      <c r="H8" s="403"/>
      <c r="I8" s="403"/>
      <c r="J8" s="403"/>
    </row>
    <row r="9" spans="1:10" ht="30" customHeight="1">
      <c r="A9" s="556"/>
      <c r="B9" s="403" t="s">
        <v>136</v>
      </c>
      <c r="C9" s="402" t="s">
        <v>348</v>
      </c>
      <c r="D9" s="402"/>
      <c r="E9" s="403"/>
      <c r="F9" s="403"/>
      <c r="G9" s="403"/>
      <c r="H9" s="403"/>
      <c r="I9" s="403"/>
      <c r="J9" s="403"/>
    </row>
    <row r="10" spans="1:10" ht="30" customHeight="1">
      <c r="A10" s="556"/>
      <c r="B10" s="404" t="s">
        <v>349</v>
      </c>
      <c r="C10" s="402" t="s">
        <v>348</v>
      </c>
      <c r="D10" s="402"/>
      <c r="E10" s="403"/>
      <c r="F10" s="403"/>
      <c r="G10" s="403"/>
      <c r="H10" s="403"/>
      <c r="I10" s="403"/>
      <c r="J10" s="403"/>
    </row>
    <row r="11" spans="1:10" ht="30" customHeight="1">
      <c r="A11" s="556"/>
      <c r="B11" s="404" t="s">
        <v>350</v>
      </c>
      <c r="C11" s="402" t="s">
        <v>348</v>
      </c>
      <c r="D11" s="402"/>
      <c r="E11" s="403"/>
      <c r="F11" s="403"/>
      <c r="G11" s="403"/>
      <c r="H11" s="403"/>
      <c r="I11" s="403"/>
      <c r="J11" s="403"/>
    </row>
    <row r="12" spans="1:10" ht="30" customHeight="1">
      <c r="A12" s="556">
        <v>2</v>
      </c>
      <c r="B12" s="403" t="s">
        <v>359</v>
      </c>
      <c r="C12" s="402" t="s">
        <v>348</v>
      </c>
      <c r="D12" s="402"/>
      <c r="E12" s="403"/>
      <c r="F12" s="403"/>
      <c r="G12" s="403"/>
      <c r="H12" s="403"/>
      <c r="I12" s="403"/>
      <c r="J12" s="403"/>
    </row>
    <row r="13" spans="1:10" ht="64.5" customHeight="1">
      <c r="A13" s="556">
        <v>3</v>
      </c>
      <c r="B13" s="403" t="s">
        <v>360</v>
      </c>
      <c r="C13" s="402" t="s">
        <v>348</v>
      </c>
      <c r="D13" s="402"/>
      <c r="E13" s="403"/>
      <c r="F13" s="403"/>
      <c r="G13" s="403"/>
      <c r="H13" s="403"/>
      <c r="I13" s="403"/>
      <c r="J13" s="403"/>
    </row>
    <row r="14" spans="1:10" ht="30" customHeight="1">
      <c r="A14" s="556">
        <v>4</v>
      </c>
      <c r="B14" s="403" t="s">
        <v>361</v>
      </c>
      <c r="C14" s="402" t="s">
        <v>298</v>
      </c>
      <c r="D14" s="402"/>
      <c r="E14" s="403"/>
      <c r="F14" s="403"/>
      <c r="G14" s="403"/>
      <c r="H14" s="403"/>
      <c r="I14" s="403"/>
      <c r="J14" s="403"/>
    </row>
    <row r="15" spans="1:10" ht="30" customHeight="1">
      <c r="A15" s="556">
        <v>5</v>
      </c>
      <c r="B15" s="403" t="s">
        <v>362</v>
      </c>
      <c r="C15" s="402" t="s">
        <v>298</v>
      </c>
      <c r="D15" s="402"/>
      <c r="E15" s="403"/>
      <c r="F15" s="403"/>
      <c r="G15" s="403"/>
      <c r="H15" s="403"/>
      <c r="I15" s="403"/>
      <c r="J15" s="403"/>
    </row>
    <row r="16" spans="1:10" ht="30" customHeight="1">
      <c r="A16" s="556">
        <v>6</v>
      </c>
      <c r="B16" s="403" t="s">
        <v>363</v>
      </c>
      <c r="C16" s="402" t="s">
        <v>298</v>
      </c>
      <c r="D16" s="402"/>
      <c r="E16" s="403"/>
      <c r="F16" s="403"/>
      <c r="G16" s="403"/>
      <c r="H16" s="403"/>
      <c r="I16" s="403"/>
      <c r="J16" s="403"/>
    </row>
    <row r="17" spans="1:10" ht="30" customHeight="1">
      <c r="A17" s="556">
        <v>7</v>
      </c>
      <c r="B17" s="403" t="s">
        <v>364</v>
      </c>
      <c r="C17" s="402" t="s">
        <v>298</v>
      </c>
      <c r="D17" s="402"/>
      <c r="E17" s="403"/>
      <c r="F17" s="403"/>
      <c r="G17" s="403"/>
      <c r="H17" s="403"/>
      <c r="I17" s="403"/>
      <c r="J17" s="403"/>
    </row>
    <row r="18" spans="1:10" ht="30" customHeight="1">
      <c r="A18" s="556">
        <v>8</v>
      </c>
      <c r="B18" s="403" t="s">
        <v>365</v>
      </c>
      <c r="C18" s="402" t="s">
        <v>298</v>
      </c>
      <c r="D18" s="402"/>
      <c r="E18" s="403"/>
      <c r="F18" s="403"/>
      <c r="G18" s="403"/>
      <c r="H18" s="403"/>
      <c r="I18" s="403"/>
      <c r="J18" s="403"/>
    </row>
    <row r="19" spans="1:10" ht="30" customHeight="1">
      <c r="A19" s="556">
        <v>9</v>
      </c>
      <c r="B19" s="403" t="s">
        <v>366</v>
      </c>
      <c r="C19" s="402" t="s">
        <v>298</v>
      </c>
      <c r="D19" s="402"/>
      <c r="E19" s="403"/>
      <c r="F19" s="403"/>
      <c r="G19" s="403"/>
      <c r="H19" s="403"/>
      <c r="I19" s="403"/>
      <c r="J19" s="403"/>
    </row>
    <row r="20" spans="1:10" ht="30" customHeight="1">
      <c r="A20" s="556" t="s">
        <v>30</v>
      </c>
      <c r="B20" s="400" t="s">
        <v>367</v>
      </c>
      <c r="C20" s="402"/>
      <c r="D20" s="402"/>
      <c r="E20" s="403"/>
      <c r="F20" s="403"/>
      <c r="G20" s="403"/>
      <c r="H20" s="403"/>
      <c r="I20" s="403"/>
      <c r="J20" s="403"/>
    </row>
    <row r="21" spans="1:10" ht="33">
      <c r="A21" s="556">
        <v>1</v>
      </c>
      <c r="B21" s="403" t="s">
        <v>368</v>
      </c>
      <c r="C21" s="402" t="s">
        <v>348</v>
      </c>
      <c r="D21" s="402"/>
      <c r="E21" s="403"/>
      <c r="F21" s="403"/>
      <c r="G21" s="403"/>
      <c r="H21" s="403"/>
      <c r="I21" s="403"/>
      <c r="J21" s="403"/>
    </row>
    <row r="22" spans="1:10" ht="30" customHeight="1">
      <c r="A22" s="556">
        <v>2</v>
      </c>
      <c r="B22" s="403" t="s">
        <v>369</v>
      </c>
      <c r="C22" s="402" t="s">
        <v>348</v>
      </c>
      <c r="D22" s="402"/>
      <c r="E22" s="403"/>
      <c r="F22" s="403"/>
      <c r="G22" s="403"/>
      <c r="H22" s="403"/>
      <c r="I22" s="403"/>
      <c r="J22" s="403"/>
    </row>
    <row r="23" spans="1:10" ht="30" customHeight="1">
      <c r="A23" s="556">
        <v>3</v>
      </c>
      <c r="B23" s="403" t="s">
        <v>370</v>
      </c>
      <c r="C23" s="402" t="s">
        <v>299</v>
      </c>
      <c r="D23" s="402"/>
      <c r="E23" s="403"/>
      <c r="F23" s="403"/>
      <c r="G23" s="403"/>
      <c r="H23" s="403"/>
      <c r="I23" s="403"/>
      <c r="J23" s="403"/>
    </row>
    <row r="24" spans="1:10" ht="30" customHeight="1">
      <c r="A24" s="556"/>
      <c r="B24" s="405" t="s">
        <v>300</v>
      </c>
      <c r="C24" s="402" t="s">
        <v>299</v>
      </c>
      <c r="D24" s="402"/>
      <c r="E24" s="403"/>
      <c r="F24" s="403"/>
      <c r="G24" s="403"/>
      <c r="H24" s="403"/>
      <c r="I24" s="403"/>
      <c r="J24" s="403"/>
    </row>
    <row r="25" spans="1:10" ht="42.75" customHeight="1">
      <c r="A25" s="556">
        <v>4</v>
      </c>
      <c r="B25" s="403" t="s">
        <v>371</v>
      </c>
      <c r="C25" s="402" t="s">
        <v>301</v>
      </c>
      <c r="D25" s="402"/>
      <c r="E25" s="403"/>
      <c r="F25" s="403"/>
      <c r="G25" s="403"/>
      <c r="H25" s="403"/>
      <c r="I25" s="403"/>
      <c r="J25" s="403"/>
    </row>
    <row r="26" spans="1:10" ht="30" customHeight="1">
      <c r="A26" s="556">
        <v>5</v>
      </c>
      <c r="B26" s="403" t="s">
        <v>372</v>
      </c>
      <c r="C26" s="402" t="s">
        <v>298</v>
      </c>
      <c r="D26" s="402"/>
      <c r="E26" s="403"/>
      <c r="F26" s="403"/>
      <c r="G26" s="403"/>
      <c r="H26" s="403"/>
      <c r="I26" s="403"/>
      <c r="J26" s="403"/>
    </row>
    <row r="27" spans="1:10" ht="30" customHeight="1">
      <c r="A27" s="556">
        <v>6</v>
      </c>
      <c r="B27" s="403" t="s">
        <v>373</v>
      </c>
      <c r="C27" s="402" t="s">
        <v>298</v>
      </c>
      <c r="D27" s="402"/>
      <c r="E27" s="403"/>
      <c r="F27" s="403"/>
      <c r="G27" s="403"/>
      <c r="H27" s="403"/>
      <c r="I27" s="403"/>
      <c r="J27" s="403"/>
    </row>
    <row r="28" spans="1:10" ht="30" customHeight="1">
      <c r="A28" s="556">
        <v>7</v>
      </c>
      <c r="B28" s="403" t="s">
        <v>374</v>
      </c>
      <c r="C28" s="402" t="s">
        <v>298</v>
      </c>
      <c r="D28" s="402"/>
      <c r="E28" s="403"/>
      <c r="F28" s="403"/>
      <c r="G28" s="403"/>
      <c r="H28" s="403"/>
      <c r="I28" s="403"/>
      <c r="J28" s="403"/>
    </row>
    <row r="29" spans="1:10" ht="30" customHeight="1">
      <c r="A29" s="556">
        <v>8</v>
      </c>
      <c r="B29" s="403" t="s">
        <v>375</v>
      </c>
      <c r="C29" s="402" t="s">
        <v>298</v>
      </c>
      <c r="D29" s="402"/>
      <c r="E29" s="403"/>
      <c r="F29" s="403"/>
      <c r="G29" s="403"/>
      <c r="H29" s="403"/>
      <c r="I29" s="403"/>
      <c r="J29" s="403"/>
    </row>
    <row r="30" spans="1:10" ht="62.25" customHeight="1">
      <c r="A30" s="556">
        <v>9</v>
      </c>
      <c r="B30" s="403" t="s">
        <v>376</v>
      </c>
      <c r="C30" s="402" t="s">
        <v>298</v>
      </c>
      <c r="D30" s="402"/>
      <c r="E30" s="403"/>
      <c r="F30" s="403"/>
      <c r="G30" s="403"/>
      <c r="H30" s="403"/>
      <c r="I30" s="403"/>
      <c r="J30" s="403"/>
    </row>
    <row r="31" spans="2:10" ht="18.75">
      <c r="B31" s="398"/>
      <c r="C31" s="399"/>
      <c r="D31" s="399"/>
      <c r="E31" s="398"/>
      <c r="F31" s="398"/>
      <c r="G31" s="398"/>
      <c r="H31" s="398"/>
      <c r="I31" s="398"/>
      <c r="J31" s="398"/>
    </row>
    <row r="32" spans="2:10" ht="18.75">
      <c r="B32" s="398"/>
      <c r="C32" s="399"/>
      <c r="D32" s="399"/>
      <c r="E32" s="398"/>
      <c r="F32" s="398"/>
      <c r="G32" s="398"/>
      <c r="H32" s="398"/>
      <c r="I32" s="398"/>
      <c r="J32" s="398"/>
    </row>
    <row r="33" spans="2:10" ht="18.75">
      <c r="B33" s="398"/>
      <c r="C33" s="399"/>
      <c r="D33" s="399"/>
      <c r="E33" s="398"/>
      <c r="F33" s="398"/>
      <c r="G33" s="398"/>
      <c r="H33" s="398"/>
      <c r="I33" s="398"/>
      <c r="J33" s="398"/>
    </row>
    <row r="34" spans="2:10" ht="18.75">
      <c r="B34" s="398"/>
      <c r="C34" s="399"/>
      <c r="D34" s="399"/>
      <c r="E34" s="398"/>
      <c r="F34" s="398"/>
      <c r="G34" s="398"/>
      <c r="H34" s="398"/>
      <c r="I34" s="398"/>
      <c r="J34" s="398"/>
    </row>
    <row r="35" spans="2:10" ht="18.75">
      <c r="B35" s="398"/>
      <c r="C35" s="399"/>
      <c r="D35" s="399"/>
      <c r="E35" s="398"/>
      <c r="F35" s="398"/>
      <c r="G35" s="398"/>
      <c r="H35" s="398"/>
      <c r="I35" s="398"/>
      <c r="J35" s="398"/>
    </row>
    <row r="36" spans="2:10" ht="18.75">
      <c r="B36" s="398"/>
      <c r="C36" s="399"/>
      <c r="D36" s="399"/>
      <c r="E36" s="398"/>
      <c r="F36" s="398"/>
      <c r="G36" s="398"/>
      <c r="H36" s="398"/>
      <c r="I36" s="398"/>
      <c r="J36" s="398"/>
    </row>
    <row r="37" spans="2:10" ht="18.75">
      <c r="B37" s="398"/>
      <c r="C37" s="399"/>
      <c r="D37" s="399"/>
      <c r="E37" s="398"/>
      <c r="F37" s="398"/>
      <c r="G37" s="398"/>
      <c r="H37" s="398"/>
      <c r="I37" s="398"/>
      <c r="J37" s="398"/>
    </row>
    <row r="38" spans="2:10" ht="18.75">
      <c r="B38" s="398"/>
      <c r="C38" s="399"/>
      <c r="D38" s="399"/>
      <c r="E38" s="398"/>
      <c r="F38" s="398"/>
      <c r="G38" s="398"/>
      <c r="H38" s="398"/>
      <c r="I38" s="398"/>
      <c r="J38" s="398"/>
    </row>
    <row r="39" spans="2:10" ht="18.75">
      <c r="B39" s="398"/>
      <c r="C39" s="399"/>
      <c r="D39" s="399"/>
      <c r="E39" s="398"/>
      <c r="F39" s="398"/>
      <c r="G39" s="398"/>
      <c r="H39" s="398"/>
      <c r="I39" s="398"/>
      <c r="J39" s="398"/>
    </row>
    <row r="40" spans="2:10" ht="18.75">
      <c r="B40" s="398"/>
      <c r="C40" s="399"/>
      <c r="D40" s="399"/>
      <c r="E40" s="398"/>
      <c r="F40" s="398"/>
      <c r="G40" s="398"/>
      <c r="H40" s="398"/>
      <c r="I40" s="398"/>
      <c r="J40" s="398"/>
    </row>
    <row r="41" spans="2:10" ht="18.75">
      <c r="B41" s="398"/>
      <c r="C41" s="399"/>
      <c r="D41" s="399"/>
      <c r="E41" s="398"/>
      <c r="F41" s="398"/>
      <c r="G41" s="398"/>
      <c r="H41" s="398"/>
      <c r="I41" s="398"/>
      <c r="J41" s="398"/>
    </row>
    <row r="42" spans="2:10" ht="18.75">
      <c r="B42" s="398"/>
      <c r="C42" s="399"/>
      <c r="D42" s="399"/>
      <c r="E42" s="398"/>
      <c r="F42" s="398"/>
      <c r="G42" s="398"/>
      <c r="H42" s="398"/>
      <c r="I42" s="398"/>
      <c r="J42" s="398"/>
    </row>
    <row r="43" spans="2:10" ht="18.75">
      <c r="B43" s="398"/>
      <c r="C43" s="399"/>
      <c r="D43" s="399"/>
      <c r="E43" s="398"/>
      <c r="F43" s="398"/>
      <c r="G43" s="398"/>
      <c r="H43" s="398"/>
      <c r="I43" s="398"/>
      <c r="J43" s="398"/>
    </row>
    <row r="44" spans="2:10" ht="18.75">
      <c r="B44" s="398"/>
      <c r="C44" s="399"/>
      <c r="D44" s="399"/>
      <c r="E44" s="398"/>
      <c r="F44" s="398"/>
      <c r="G44" s="398"/>
      <c r="H44" s="398"/>
      <c r="I44" s="398"/>
      <c r="J44" s="398"/>
    </row>
    <row r="45" spans="2:10" ht="18.75">
      <c r="B45" s="398"/>
      <c r="C45" s="399"/>
      <c r="D45" s="399"/>
      <c r="E45" s="398"/>
      <c r="F45" s="398"/>
      <c r="G45" s="398"/>
      <c r="H45" s="398"/>
      <c r="I45" s="398"/>
      <c r="J45" s="398"/>
    </row>
    <row r="46" spans="2:10" ht="18.75">
      <c r="B46" s="398"/>
      <c r="C46" s="399"/>
      <c r="D46" s="399"/>
      <c r="E46" s="398"/>
      <c r="F46" s="398"/>
      <c r="G46" s="398"/>
      <c r="H46" s="398"/>
      <c r="I46" s="398"/>
      <c r="J46" s="398"/>
    </row>
    <row r="47" spans="2:10" ht="18.75">
      <c r="B47" s="398"/>
      <c r="C47" s="399"/>
      <c r="D47" s="399"/>
      <c r="E47" s="398"/>
      <c r="F47" s="398"/>
      <c r="G47" s="398"/>
      <c r="H47" s="398"/>
      <c r="I47" s="398"/>
      <c r="J47" s="398"/>
    </row>
    <row r="48" spans="2:10" ht="18.75">
      <c r="B48" s="398"/>
      <c r="C48" s="399"/>
      <c r="D48" s="399"/>
      <c r="E48" s="398"/>
      <c r="F48" s="398"/>
      <c r="G48" s="398"/>
      <c r="H48" s="398"/>
      <c r="I48" s="398"/>
      <c r="J48" s="398"/>
    </row>
    <row r="49" spans="2:10" ht="18.75">
      <c r="B49" s="398"/>
      <c r="C49" s="399"/>
      <c r="D49" s="399"/>
      <c r="E49" s="398"/>
      <c r="F49" s="398"/>
      <c r="G49" s="398"/>
      <c r="H49" s="398"/>
      <c r="I49" s="398"/>
      <c r="J49" s="398"/>
    </row>
    <row r="50" spans="2:10" ht="18.75">
      <c r="B50" s="398"/>
      <c r="C50" s="399"/>
      <c r="D50" s="399"/>
      <c r="E50" s="398"/>
      <c r="F50" s="398"/>
      <c r="G50" s="398"/>
      <c r="H50" s="398"/>
      <c r="I50" s="398"/>
      <c r="J50" s="398"/>
    </row>
    <row r="51" spans="2:10" ht="18.75">
      <c r="B51" s="398"/>
      <c r="C51" s="399"/>
      <c r="D51" s="399"/>
      <c r="E51" s="398"/>
      <c r="F51" s="398"/>
      <c r="G51" s="398"/>
      <c r="H51" s="398"/>
      <c r="I51" s="398"/>
      <c r="J51" s="398"/>
    </row>
    <row r="52" spans="2:10" ht="18.75">
      <c r="B52" s="398"/>
      <c r="C52" s="399"/>
      <c r="D52" s="399"/>
      <c r="E52" s="398"/>
      <c r="F52" s="398"/>
      <c r="G52" s="398"/>
      <c r="H52" s="398"/>
      <c r="I52" s="398"/>
      <c r="J52" s="398"/>
    </row>
    <row r="53" spans="2:10" ht="18.75">
      <c r="B53" s="398"/>
      <c r="C53" s="399"/>
      <c r="D53" s="399"/>
      <c r="E53" s="398"/>
      <c r="F53" s="398"/>
      <c r="G53" s="398"/>
      <c r="H53" s="398"/>
      <c r="I53" s="398"/>
      <c r="J53" s="398"/>
    </row>
    <row r="54" spans="2:10" ht="18.75">
      <c r="B54" s="398"/>
      <c r="C54" s="399"/>
      <c r="D54" s="399"/>
      <c r="E54" s="398"/>
      <c r="F54" s="398"/>
      <c r="G54" s="398"/>
      <c r="H54" s="398"/>
      <c r="I54" s="398"/>
      <c r="J54" s="398"/>
    </row>
    <row r="55" spans="2:10" ht="18.75">
      <c r="B55" s="398"/>
      <c r="C55" s="399"/>
      <c r="D55" s="399"/>
      <c r="E55" s="398"/>
      <c r="F55" s="398"/>
      <c r="G55" s="398"/>
      <c r="H55" s="398"/>
      <c r="I55" s="398"/>
      <c r="J55" s="398"/>
    </row>
    <row r="56" spans="2:10" ht="18.75">
      <c r="B56" s="398"/>
      <c r="C56" s="399"/>
      <c r="D56" s="399"/>
      <c r="E56" s="398"/>
      <c r="F56" s="398"/>
      <c r="G56" s="398"/>
      <c r="H56" s="398"/>
      <c r="I56" s="398"/>
      <c r="J56" s="398"/>
    </row>
    <row r="57" spans="2:10" ht="18.75">
      <c r="B57" s="398"/>
      <c r="C57" s="399"/>
      <c r="D57" s="399"/>
      <c r="E57" s="398"/>
      <c r="F57" s="398"/>
      <c r="G57" s="398"/>
      <c r="H57" s="398"/>
      <c r="I57" s="398"/>
      <c r="J57" s="398"/>
    </row>
    <row r="58" spans="2:10" ht="18.75">
      <c r="B58" s="398"/>
      <c r="C58" s="399"/>
      <c r="D58" s="399"/>
      <c r="E58" s="398"/>
      <c r="F58" s="398"/>
      <c r="G58" s="398"/>
      <c r="H58" s="398"/>
      <c r="I58" s="398"/>
      <c r="J58" s="398"/>
    </row>
    <row r="59" spans="2:10" ht="18.75">
      <c r="B59" s="398"/>
      <c r="C59" s="399"/>
      <c r="D59" s="399"/>
      <c r="E59" s="398"/>
      <c r="F59" s="398"/>
      <c r="G59" s="398"/>
      <c r="H59" s="398"/>
      <c r="I59" s="398"/>
      <c r="J59" s="398"/>
    </row>
    <row r="60" spans="2:10" ht="18.75">
      <c r="B60" s="398"/>
      <c r="C60" s="399"/>
      <c r="D60" s="399"/>
      <c r="E60" s="398"/>
      <c r="F60" s="398"/>
      <c r="G60" s="398"/>
      <c r="H60" s="398"/>
      <c r="I60" s="398"/>
      <c r="J60" s="398"/>
    </row>
    <row r="61" spans="2:10" ht="18.75">
      <c r="B61" s="398"/>
      <c r="C61" s="399"/>
      <c r="D61" s="399"/>
      <c r="E61" s="398"/>
      <c r="F61" s="398"/>
      <c r="G61" s="398"/>
      <c r="H61" s="398"/>
      <c r="I61" s="398"/>
      <c r="J61" s="398"/>
    </row>
    <row r="62" spans="2:10" ht="18.75">
      <c r="B62" s="398"/>
      <c r="C62" s="399"/>
      <c r="D62" s="399"/>
      <c r="E62" s="398"/>
      <c r="F62" s="398"/>
      <c r="G62" s="398"/>
      <c r="H62" s="398"/>
      <c r="I62" s="398"/>
      <c r="J62" s="398"/>
    </row>
    <row r="63" spans="2:10" ht="18.75">
      <c r="B63" s="398"/>
      <c r="C63" s="399"/>
      <c r="D63" s="399"/>
      <c r="E63" s="398"/>
      <c r="F63" s="398"/>
      <c r="G63" s="398"/>
      <c r="H63" s="398"/>
      <c r="I63" s="398"/>
      <c r="J63" s="398"/>
    </row>
    <row r="64" spans="2:10" ht="18.75">
      <c r="B64" s="398"/>
      <c r="C64" s="399"/>
      <c r="D64" s="399"/>
      <c r="E64" s="398"/>
      <c r="F64" s="398"/>
      <c r="G64" s="398"/>
      <c r="H64" s="398"/>
      <c r="I64" s="398"/>
      <c r="J64" s="398"/>
    </row>
    <row r="65" spans="2:10" ht="18.75">
      <c r="B65" s="398"/>
      <c r="C65" s="399"/>
      <c r="D65" s="399"/>
      <c r="E65" s="398"/>
      <c r="F65" s="398"/>
      <c r="G65" s="398"/>
      <c r="H65" s="398"/>
      <c r="I65" s="398"/>
      <c r="J65" s="398"/>
    </row>
    <row r="66" spans="2:10" ht="18.75">
      <c r="B66" s="398"/>
      <c r="C66" s="399"/>
      <c r="D66" s="399"/>
      <c r="E66" s="398"/>
      <c r="F66" s="398"/>
      <c r="G66" s="398"/>
      <c r="H66" s="398"/>
      <c r="I66" s="398"/>
      <c r="J66" s="398"/>
    </row>
    <row r="67" spans="2:10" ht="18.75">
      <c r="B67" s="398"/>
      <c r="C67" s="399"/>
      <c r="D67" s="399"/>
      <c r="E67" s="398"/>
      <c r="F67" s="398"/>
      <c r="G67" s="398"/>
      <c r="H67" s="398"/>
      <c r="I67" s="398"/>
      <c r="J67" s="398"/>
    </row>
    <row r="68" spans="2:10" ht="18.75">
      <c r="B68" s="398"/>
      <c r="C68" s="399"/>
      <c r="D68" s="399"/>
      <c r="E68" s="398"/>
      <c r="F68" s="398"/>
      <c r="G68" s="398"/>
      <c r="H68" s="398"/>
      <c r="I68" s="398"/>
      <c r="J68" s="398"/>
    </row>
    <row r="69" spans="2:10" ht="18.75">
      <c r="B69" s="398"/>
      <c r="C69" s="399"/>
      <c r="D69" s="399"/>
      <c r="E69" s="398"/>
      <c r="F69" s="398"/>
      <c r="G69" s="398"/>
      <c r="H69" s="398"/>
      <c r="I69" s="398"/>
      <c r="J69" s="398"/>
    </row>
    <row r="70" spans="2:10" ht="18.75">
      <c r="B70" s="398"/>
      <c r="C70" s="399"/>
      <c r="D70" s="399"/>
      <c r="E70" s="398"/>
      <c r="F70" s="398"/>
      <c r="G70" s="398"/>
      <c r="H70" s="398"/>
      <c r="I70" s="398"/>
      <c r="J70" s="398"/>
    </row>
    <row r="71" spans="2:10" ht="18.75">
      <c r="B71" s="398"/>
      <c r="C71" s="399"/>
      <c r="D71" s="399"/>
      <c r="E71" s="398"/>
      <c r="F71" s="398"/>
      <c r="G71" s="398"/>
      <c r="H71" s="398"/>
      <c r="I71" s="398"/>
      <c r="J71" s="398"/>
    </row>
    <row r="72" spans="2:10" ht="18.75">
      <c r="B72" s="398"/>
      <c r="C72" s="399"/>
      <c r="D72" s="399"/>
      <c r="E72" s="398"/>
      <c r="F72" s="398"/>
      <c r="G72" s="398"/>
      <c r="H72" s="398"/>
      <c r="I72" s="398"/>
      <c r="J72" s="398"/>
    </row>
    <row r="73" spans="2:10" ht="18.75">
      <c r="B73" s="398"/>
      <c r="C73" s="399"/>
      <c r="D73" s="399"/>
      <c r="E73" s="398"/>
      <c r="F73" s="398"/>
      <c r="G73" s="398"/>
      <c r="H73" s="398"/>
      <c r="I73" s="398"/>
      <c r="J73" s="398"/>
    </row>
    <row r="74" spans="2:10" ht="18.75">
      <c r="B74" s="398"/>
      <c r="C74" s="399"/>
      <c r="D74" s="399"/>
      <c r="E74" s="398"/>
      <c r="F74" s="398"/>
      <c r="G74" s="398"/>
      <c r="H74" s="398"/>
      <c r="I74" s="398"/>
      <c r="J74" s="398"/>
    </row>
    <row r="75" spans="2:10" ht="18.75">
      <c r="B75" s="398"/>
      <c r="C75" s="399"/>
      <c r="D75" s="399"/>
      <c r="E75" s="398"/>
      <c r="F75" s="398"/>
      <c r="G75" s="398"/>
      <c r="H75" s="398"/>
      <c r="I75" s="398"/>
      <c r="J75" s="398"/>
    </row>
    <row r="76" spans="2:10" ht="18.75">
      <c r="B76" s="398"/>
      <c r="C76" s="399"/>
      <c r="D76" s="399"/>
      <c r="E76" s="398"/>
      <c r="F76" s="398"/>
      <c r="G76" s="398"/>
      <c r="H76" s="398"/>
      <c r="I76" s="398"/>
      <c r="J76" s="398"/>
    </row>
    <row r="77" spans="2:10" ht="18.75">
      <c r="B77" s="398"/>
      <c r="C77" s="399"/>
      <c r="D77" s="399"/>
      <c r="E77" s="398"/>
      <c r="F77" s="398"/>
      <c r="G77" s="398"/>
      <c r="H77" s="398"/>
      <c r="I77" s="398"/>
      <c r="J77" s="398"/>
    </row>
    <row r="78" spans="2:10" ht="18.75">
      <c r="B78" s="398"/>
      <c r="C78" s="399"/>
      <c r="D78" s="399"/>
      <c r="E78" s="398"/>
      <c r="F78" s="398"/>
      <c r="G78" s="398"/>
      <c r="H78" s="398"/>
      <c r="I78" s="398"/>
      <c r="J78" s="398"/>
    </row>
    <row r="79" spans="2:10" ht="18.75">
      <c r="B79" s="398"/>
      <c r="C79" s="399"/>
      <c r="D79" s="399"/>
      <c r="E79" s="398"/>
      <c r="F79" s="398"/>
      <c r="G79" s="398"/>
      <c r="H79" s="398"/>
      <c r="I79" s="398"/>
      <c r="J79" s="398"/>
    </row>
    <row r="80" spans="2:10" ht="18.75">
      <c r="B80" s="398"/>
      <c r="C80" s="399"/>
      <c r="D80" s="399"/>
      <c r="E80" s="398"/>
      <c r="F80" s="398"/>
      <c r="G80" s="398"/>
      <c r="H80" s="398"/>
      <c r="I80" s="398"/>
      <c r="J80" s="398"/>
    </row>
    <row r="81" spans="2:10" ht="18.75">
      <c r="B81" s="398"/>
      <c r="C81" s="399"/>
      <c r="D81" s="399"/>
      <c r="E81" s="398"/>
      <c r="F81" s="398"/>
      <c r="G81" s="398"/>
      <c r="H81" s="398"/>
      <c r="I81" s="398"/>
      <c r="J81" s="398"/>
    </row>
    <row r="82" spans="2:10" ht="18.75">
      <c r="B82" s="398"/>
      <c r="C82" s="399"/>
      <c r="D82" s="399"/>
      <c r="E82" s="398"/>
      <c r="F82" s="398"/>
      <c r="G82" s="398"/>
      <c r="H82" s="398"/>
      <c r="I82" s="398"/>
      <c r="J82" s="398"/>
    </row>
    <row r="83" spans="2:10" ht="18.75">
      <c r="B83" s="398"/>
      <c r="C83" s="399"/>
      <c r="D83" s="399"/>
      <c r="E83" s="398"/>
      <c r="F83" s="398"/>
      <c r="G83" s="398"/>
      <c r="H83" s="398"/>
      <c r="I83" s="398"/>
      <c r="J83" s="398"/>
    </row>
    <row r="84" spans="2:10" ht="18.75">
      <c r="B84" s="398"/>
      <c r="C84" s="399"/>
      <c r="D84" s="399"/>
      <c r="E84" s="398"/>
      <c r="F84" s="398"/>
      <c r="G84" s="398"/>
      <c r="H84" s="398"/>
      <c r="I84" s="398"/>
      <c r="J84" s="398"/>
    </row>
    <row r="85" spans="2:10" ht="18.75">
      <c r="B85" s="398"/>
      <c r="C85" s="399"/>
      <c r="D85" s="399"/>
      <c r="E85" s="398"/>
      <c r="F85" s="398"/>
      <c r="G85" s="398"/>
      <c r="H85" s="398"/>
      <c r="I85" s="398"/>
      <c r="J85" s="398"/>
    </row>
    <row r="86" spans="2:10" ht="18.75">
      <c r="B86" s="398"/>
      <c r="C86" s="399"/>
      <c r="D86" s="399"/>
      <c r="E86" s="398"/>
      <c r="F86" s="398"/>
      <c r="G86" s="398"/>
      <c r="H86" s="398"/>
      <c r="I86" s="398"/>
      <c r="J86" s="398"/>
    </row>
    <row r="87" spans="2:10" ht="18.75">
      <c r="B87" s="398"/>
      <c r="C87" s="399"/>
      <c r="D87" s="399"/>
      <c r="E87" s="398"/>
      <c r="F87" s="398"/>
      <c r="G87" s="398"/>
      <c r="H87" s="398"/>
      <c r="I87" s="398"/>
      <c r="J87" s="398"/>
    </row>
    <row r="88" spans="2:10" ht="18.75">
      <c r="B88" s="398"/>
      <c r="C88" s="399"/>
      <c r="D88" s="399"/>
      <c r="E88" s="398"/>
      <c r="F88" s="398"/>
      <c r="G88" s="398"/>
      <c r="H88" s="398"/>
      <c r="I88" s="398"/>
      <c r="J88" s="398"/>
    </row>
    <row r="89" spans="2:10" ht="18.75">
      <c r="B89" s="398"/>
      <c r="C89" s="399"/>
      <c r="D89" s="399"/>
      <c r="E89" s="398"/>
      <c r="F89" s="398"/>
      <c r="G89" s="398"/>
      <c r="H89" s="398"/>
      <c r="I89" s="398"/>
      <c r="J89" s="398"/>
    </row>
    <row r="90" spans="2:10" ht="18.75">
      <c r="B90" s="398"/>
      <c r="C90" s="399"/>
      <c r="D90" s="399"/>
      <c r="E90" s="398"/>
      <c r="F90" s="398"/>
      <c r="G90" s="398"/>
      <c r="H90" s="398"/>
      <c r="I90" s="398"/>
      <c r="J90" s="398"/>
    </row>
    <row r="91" spans="2:10" ht="18.75">
      <c r="B91" s="398"/>
      <c r="C91" s="399"/>
      <c r="D91" s="399"/>
      <c r="E91" s="398"/>
      <c r="F91" s="398"/>
      <c r="G91" s="398"/>
      <c r="H91" s="398"/>
      <c r="I91" s="398"/>
      <c r="J91" s="398"/>
    </row>
    <row r="92" spans="2:10" ht="18.75">
      <c r="B92" s="398"/>
      <c r="C92" s="399"/>
      <c r="D92" s="399"/>
      <c r="E92" s="398"/>
      <c r="F92" s="398"/>
      <c r="G92" s="398"/>
      <c r="H92" s="398"/>
      <c r="I92" s="398"/>
      <c r="J92" s="398"/>
    </row>
    <row r="93" spans="2:10" ht="18.75">
      <c r="B93" s="398"/>
      <c r="C93" s="399"/>
      <c r="D93" s="399"/>
      <c r="E93" s="398"/>
      <c r="F93" s="398"/>
      <c r="G93" s="398"/>
      <c r="H93" s="398"/>
      <c r="I93" s="398"/>
      <c r="J93" s="398"/>
    </row>
    <row r="94" spans="2:10" ht="18.75">
      <c r="B94" s="398"/>
      <c r="C94" s="399"/>
      <c r="D94" s="399"/>
      <c r="E94" s="398"/>
      <c r="F94" s="398"/>
      <c r="G94" s="398"/>
      <c r="H94" s="398"/>
      <c r="I94" s="398"/>
      <c r="J94" s="398"/>
    </row>
    <row r="95" spans="2:10" ht="18.75">
      <c r="B95" s="398"/>
      <c r="C95" s="399"/>
      <c r="D95" s="399"/>
      <c r="E95" s="398"/>
      <c r="F95" s="398"/>
      <c r="G95" s="398"/>
      <c r="H95" s="398"/>
      <c r="I95" s="398"/>
      <c r="J95" s="398"/>
    </row>
    <row r="96" spans="2:10" ht="18.75">
      <c r="B96" s="398"/>
      <c r="C96" s="399"/>
      <c r="D96" s="399"/>
      <c r="E96" s="398"/>
      <c r="F96" s="398"/>
      <c r="G96" s="398"/>
      <c r="H96" s="398"/>
      <c r="I96" s="398"/>
      <c r="J96" s="398"/>
    </row>
    <row r="97" spans="2:10" ht="18.75">
      <c r="B97" s="398"/>
      <c r="C97" s="399"/>
      <c r="D97" s="399"/>
      <c r="E97" s="398"/>
      <c r="F97" s="398"/>
      <c r="G97" s="398"/>
      <c r="H97" s="398"/>
      <c r="I97" s="398"/>
      <c r="J97" s="398"/>
    </row>
    <row r="98" spans="2:10" ht="18.75">
      <c r="B98" s="398"/>
      <c r="C98" s="399"/>
      <c r="D98" s="399"/>
      <c r="E98" s="398"/>
      <c r="F98" s="398"/>
      <c r="G98" s="398"/>
      <c r="H98" s="398"/>
      <c r="I98" s="398"/>
      <c r="J98" s="398"/>
    </row>
    <row r="99" spans="2:10" ht="18.75">
      <c r="B99" s="398"/>
      <c r="C99" s="399"/>
      <c r="D99" s="399"/>
      <c r="E99" s="398"/>
      <c r="F99" s="398"/>
      <c r="G99" s="398"/>
      <c r="H99" s="398"/>
      <c r="I99" s="398"/>
      <c r="J99" s="398"/>
    </row>
    <row r="100" spans="2:10" ht="18.75">
      <c r="B100" s="398"/>
      <c r="C100" s="399"/>
      <c r="D100" s="399"/>
      <c r="E100" s="398"/>
      <c r="F100" s="398"/>
      <c r="G100" s="398"/>
      <c r="H100" s="398"/>
      <c r="I100" s="398"/>
      <c r="J100" s="398"/>
    </row>
    <row r="101" spans="2:10" ht="18.75">
      <c r="B101" s="398"/>
      <c r="C101" s="399"/>
      <c r="D101" s="399"/>
      <c r="E101" s="398"/>
      <c r="F101" s="398"/>
      <c r="G101" s="398"/>
      <c r="H101" s="398"/>
      <c r="I101" s="398"/>
      <c r="J101" s="398"/>
    </row>
    <row r="102" spans="2:10" ht="18.75">
      <c r="B102" s="398"/>
      <c r="C102" s="399"/>
      <c r="D102" s="399"/>
      <c r="E102" s="398"/>
      <c r="F102" s="398"/>
      <c r="G102" s="398"/>
      <c r="H102" s="398"/>
      <c r="I102" s="398"/>
      <c r="J102" s="398"/>
    </row>
    <row r="103" spans="2:10" ht="18.75">
      <c r="B103" s="398"/>
      <c r="C103" s="399"/>
      <c r="D103" s="399"/>
      <c r="E103" s="398"/>
      <c r="F103" s="398"/>
      <c r="G103" s="398"/>
      <c r="H103" s="398"/>
      <c r="I103" s="398"/>
      <c r="J103" s="398"/>
    </row>
    <row r="104" spans="2:10" ht="18.75">
      <c r="B104" s="398"/>
      <c r="C104" s="399"/>
      <c r="D104" s="399"/>
      <c r="E104" s="398"/>
      <c r="F104" s="398"/>
      <c r="G104" s="398"/>
      <c r="H104" s="398"/>
      <c r="I104" s="398"/>
      <c r="J104" s="398"/>
    </row>
    <row r="105" spans="2:10" ht="18.75">
      <c r="B105" s="398"/>
      <c r="C105" s="399"/>
      <c r="D105" s="399"/>
      <c r="E105" s="398"/>
      <c r="F105" s="398"/>
      <c r="G105" s="398"/>
      <c r="H105" s="398"/>
      <c r="I105" s="398"/>
      <c r="J105" s="398"/>
    </row>
    <row r="106" spans="2:10" ht="18.75">
      <c r="B106" s="398"/>
      <c r="C106" s="399"/>
      <c r="D106" s="399"/>
      <c r="E106" s="398"/>
      <c r="F106" s="398"/>
      <c r="G106" s="398"/>
      <c r="H106" s="398"/>
      <c r="I106" s="398"/>
      <c r="J106" s="398"/>
    </row>
    <row r="107" spans="2:10" ht="18.75">
      <c r="B107" s="398"/>
      <c r="C107" s="399"/>
      <c r="D107" s="399"/>
      <c r="E107" s="398"/>
      <c r="F107" s="398"/>
      <c r="G107" s="398"/>
      <c r="H107" s="398"/>
      <c r="I107" s="398"/>
      <c r="J107" s="398"/>
    </row>
    <row r="108" spans="2:10" ht="18.75">
      <c r="B108" s="398"/>
      <c r="C108" s="399"/>
      <c r="D108" s="399"/>
      <c r="E108" s="398"/>
      <c r="F108" s="398"/>
      <c r="G108" s="398"/>
      <c r="H108" s="398"/>
      <c r="I108" s="398"/>
      <c r="J108" s="398"/>
    </row>
    <row r="109" spans="2:10" ht="18.75">
      <c r="B109" s="398"/>
      <c r="C109" s="399"/>
      <c r="D109" s="399"/>
      <c r="E109" s="398"/>
      <c r="F109" s="398"/>
      <c r="G109" s="398"/>
      <c r="H109" s="398"/>
      <c r="I109" s="398"/>
      <c r="J109" s="398"/>
    </row>
    <row r="110" spans="2:10" ht="18.75">
      <c r="B110" s="398"/>
      <c r="C110" s="399"/>
      <c r="D110" s="399"/>
      <c r="E110" s="398"/>
      <c r="F110" s="398"/>
      <c r="G110" s="398"/>
      <c r="H110" s="398"/>
      <c r="I110" s="398"/>
      <c r="J110" s="398"/>
    </row>
    <row r="111" spans="2:10" ht="18.75">
      <c r="B111" s="398"/>
      <c r="C111" s="399"/>
      <c r="D111" s="399"/>
      <c r="E111" s="398"/>
      <c r="F111" s="398"/>
      <c r="G111" s="398"/>
      <c r="H111" s="398"/>
      <c r="I111" s="398"/>
      <c r="J111" s="398"/>
    </row>
    <row r="112" spans="2:10" ht="18.75">
      <c r="B112" s="398"/>
      <c r="C112" s="399"/>
      <c r="D112" s="399"/>
      <c r="E112" s="398"/>
      <c r="F112" s="398"/>
      <c r="G112" s="398"/>
      <c r="H112" s="398"/>
      <c r="I112" s="398"/>
      <c r="J112" s="398"/>
    </row>
    <row r="113" spans="2:10" ht="18.75">
      <c r="B113" s="398"/>
      <c r="C113" s="399"/>
      <c r="D113" s="399"/>
      <c r="E113" s="398"/>
      <c r="F113" s="398"/>
      <c r="G113" s="398"/>
      <c r="H113" s="398"/>
      <c r="I113" s="398"/>
      <c r="J113" s="398"/>
    </row>
    <row r="114" spans="2:10" ht="18.75">
      <c r="B114" s="398"/>
      <c r="C114" s="399"/>
      <c r="D114" s="399"/>
      <c r="E114" s="398"/>
      <c r="F114" s="398"/>
      <c r="G114" s="398"/>
      <c r="H114" s="398"/>
      <c r="I114" s="398"/>
      <c r="J114" s="398"/>
    </row>
    <row r="115" spans="2:10" ht="18.75">
      <c r="B115" s="398"/>
      <c r="C115" s="399"/>
      <c r="D115" s="399"/>
      <c r="E115" s="398"/>
      <c r="F115" s="398"/>
      <c r="G115" s="398"/>
      <c r="H115" s="398"/>
      <c r="I115" s="398"/>
      <c r="J115" s="398"/>
    </row>
    <row r="116" spans="2:10" ht="18.75">
      <c r="B116" s="398"/>
      <c r="C116" s="399"/>
      <c r="D116" s="399"/>
      <c r="E116" s="398"/>
      <c r="F116" s="398"/>
      <c r="G116" s="398"/>
      <c r="H116" s="398"/>
      <c r="I116" s="398"/>
      <c r="J116" s="398"/>
    </row>
    <row r="117" spans="2:10" ht="18.75">
      <c r="B117" s="398"/>
      <c r="C117" s="399"/>
      <c r="D117" s="399"/>
      <c r="E117" s="398"/>
      <c r="F117" s="398"/>
      <c r="G117" s="398"/>
      <c r="H117" s="398"/>
      <c r="I117" s="398"/>
      <c r="J117" s="398"/>
    </row>
    <row r="118" spans="2:10" ht="18.75">
      <c r="B118" s="398"/>
      <c r="C118" s="399"/>
      <c r="D118" s="399"/>
      <c r="E118" s="398"/>
      <c r="F118" s="398"/>
      <c r="G118" s="398"/>
      <c r="H118" s="398"/>
      <c r="I118" s="398"/>
      <c r="J118" s="398"/>
    </row>
    <row r="119" spans="2:10" ht="18.75">
      <c r="B119" s="398"/>
      <c r="C119" s="399"/>
      <c r="D119" s="399"/>
      <c r="E119" s="398"/>
      <c r="F119" s="398"/>
      <c r="G119" s="398"/>
      <c r="H119" s="398"/>
      <c r="I119" s="398"/>
      <c r="J119" s="398"/>
    </row>
    <row r="120" spans="2:10" ht="18.75">
      <c r="B120" s="398"/>
      <c r="C120" s="399"/>
      <c r="D120" s="399"/>
      <c r="E120" s="398"/>
      <c r="F120" s="398"/>
      <c r="G120" s="398"/>
      <c r="H120" s="398"/>
      <c r="I120" s="398"/>
      <c r="J120" s="398"/>
    </row>
    <row r="121" spans="2:10" ht="18.75">
      <c r="B121" s="398"/>
      <c r="C121" s="399"/>
      <c r="D121" s="399"/>
      <c r="E121" s="398"/>
      <c r="F121" s="398"/>
      <c r="G121" s="398"/>
      <c r="H121" s="398"/>
      <c r="I121" s="398"/>
      <c r="J121" s="398"/>
    </row>
    <row r="122" spans="2:10" ht="18.75">
      <c r="B122" s="398"/>
      <c r="C122" s="399"/>
      <c r="D122" s="399"/>
      <c r="E122" s="398"/>
      <c r="F122" s="398"/>
      <c r="G122" s="398"/>
      <c r="H122" s="398"/>
      <c r="I122" s="398"/>
      <c r="J122" s="398"/>
    </row>
    <row r="123" spans="2:10" ht="18.75">
      <c r="B123" s="398"/>
      <c r="C123" s="399"/>
      <c r="D123" s="399"/>
      <c r="E123" s="398"/>
      <c r="F123" s="398"/>
      <c r="G123" s="398"/>
      <c r="H123" s="398"/>
      <c r="I123" s="398"/>
      <c r="J123" s="398"/>
    </row>
    <row r="124" spans="2:10" ht="18.75">
      <c r="B124" s="398"/>
      <c r="C124" s="399"/>
      <c r="D124" s="399"/>
      <c r="E124" s="398"/>
      <c r="F124" s="398"/>
      <c r="G124" s="398"/>
      <c r="H124" s="398"/>
      <c r="I124" s="398"/>
      <c r="J124" s="398"/>
    </row>
    <row r="125" spans="2:10" ht="18.75">
      <c r="B125" s="398"/>
      <c r="C125" s="399"/>
      <c r="D125" s="399"/>
      <c r="E125" s="398"/>
      <c r="F125" s="398"/>
      <c r="G125" s="398"/>
      <c r="H125" s="398"/>
      <c r="I125" s="398"/>
      <c r="J125" s="398"/>
    </row>
    <row r="126" spans="2:10" ht="18.75">
      <c r="B126" s="398"/>
      <c r="C126" s="399"/>
      <c r="D126" s="399"/>
      <c r="E126" s="398"/>
      <c r="F126" s="398"/>
      <c r="G126" s="398"/>
      <c r="H126" s="398"/>
      <c r="I126" s="398"/>
      <c r="J126" s="398"/>
    </row>
    <row r="127" spans="2:10" ht="18.75">
      <c r="B127" s="398"/>
      <c r="C127" s="399"/>
      <c r="D127" s="399"/>
      <c r="E127" s="398"/>
      <c r="F127" s="398"/>
      <c r="G127" s="398"/>
      <c r="H127" s="398"/>
      <c r="I127" s="398"/>
      <c r="J127" s="398"/>
    </row>
    <row r="128" spans="2:10" ht="18.75">
      <c r="B128" s="398"/>
      <c r="C128" s="399"/>
      <c r="D128" s="399"/>
      <c r="E128" s="398"/>
      <c r="F128" s="398"/>
      <c r="G128" s="398"/>
      <c r="H128" s="398"/>
      <c r="I128" s="398"/>
      <c r="J128" s="398"/>
    </row>
    <row r="129" spans="2:10" ht="18.75">
      <c r="B129" s="398"/>
      <c r="C129" s="399"/>
      <c r="D129" s="399"/>
      <c r="E129" s="398"/>
      <c r="F129" s="398"/>
      <c r="G129" s="398"/>
      <c r="H129" s="398"/>
      <c r="I129" s="398"/>
      <c r="J129" s="398"/>
    </row>
    <row r="130" spans="2:10" ht="18.75">
      <c r="B130" s="398"/>
      <c r="C130" s="399"/>
      <c r="D130" s="399"/>
      <c r="E130" s="398"/>
      <c r="F130" s="398"/>
      <c r="G130" s="398"/>
      <c r="H130" s="398"/>
      <c r="I130" s="398"/>
      <c r="J130" s="398"/>
    </row>
    <row r="131" spans="2:10" ht="18.75">
      <c r="B131" s="398"/>
      <c r="C131" s="399"/>
      <c r="D131" s="399"/>
      <c r="E131" s="398"/>
      <c r="F131" s="398"/>
      <c r="G131" s="398"/>
      <c r="H131" s="398"/>
      <c r="I131" s="398"/>
      <c r="J131" s="398"/>
    </row>
    <row r="132" spans="2:10" ht="18.75">
      <c r="B132" s="398"/>
      <c r="C132" s="399"/>
      <c r="D132" s="399"/>
      <c r="E132" s="398"/>
      <c r="F132" s="398"/>
      <c r="G132" s="398"/>
      <c r="H132" s="398"/>
      <c r="I132" s="398"/>
      <c r="J132" s="398"/>
    </row>
    <row r="133" spans="2:10" ht="18.75">
      <c r="B133" s="398"/>
      <c r="C133" s="399"/>
      <c r="D133" s="399"/>
      <c r="E133" s="398"/>
      <c r="F133" s="398"/>
      <c r="G133" s="398"/>
      <c r="H133" s="398"/>
      <c r="I133" s="398"/>
      <c r="J133" s="398"/>
    </row>
    <row r="134" spans="2:10" ht="18.75">
      <c r="B134" s="398"/>
      <c r="C134" s="399"/>
      <c r="D134" s="399"/>
      <c r="E134" s="398"/>
      <c r="F134" s="398"/>
      <c r="G134" s="398"/>
      <c r="H134" s="398"/>
      <c r="I134" s="398"/>
      <c r="J134" s="398"/>
    </row>
    <row r="135" spans="2:10" ht="18.75">
      <c r="B135" s="398"/>
      <c r="C135" s="399"/>
      <c r="D135" s="399"/>
      <c r="E135" s="398"/>
      <c r="F135" s="398"/>
      <c r="G135" s="398"/>
      <c r="H135" s="398"/>
      <c r="I135" s="398"/>
      <c r="J135" s="398"/>
    </row>
    <row r="136" spans="2:10" ht="18.75">
      <c r="B136" s="398"/>
      <c r="C136" s="399"/>
      <c r="D136" s="399"/>
      <c r="E136" s="398"/>
      <c r="F136" s="398"/>
      <c r="G136" s="398"/>
      <c r="H136" s="398"/>
      <c r="I136" s="398"/>
      <c r="J136" s="398"/>
    </row>
    <row r="137" spans="2:10" ht="18.75">
      <c r="B137" s="398"/>
      <c r="C137" s="399"/>
      <c r="D137" s="399"/>
      <c r="E137" s="398"/>
      <c r="F137" s="398"/>
      <c r="G137" s="398"/>
      <c r="H137" s="398"/>
      <c r="I137" s="398"/>
      <c r="J137" s="398"/>
    </row>
    <row r="138" spans="2:10" ht="18.75">
      <c r="B138" s="398"/>
      <c r="C138" s="399"/>
      <c r="D138" s="399"/>
      <c r="E138" s="398"/>
      <c r="F138" s="398"/>
      <c r="G138" s="398"/>
      <c r="H138" s="398"/>
      <c r="I138" s="398"/>
      <c r="J138" s="398"/>
    </row>
    <row r="139" spans="2:10" ht="18.75">
      <c r="B139" s="398"/>
      <c r="C139" s="399"/>
      <c r="D139" s="399"/>
      <c r="E139" s="398"/>
      <c r="F139" s="398"/>
      <c r="G139" s="398"/>
      <c r="H139" s="398"/>
      <c r="I139" s="398"/>
      <c r="J139" s="398"/>
    </row>
    <row r="140" spans="2:10" ht="18.75">
      <c r="B140" s="398"/>
      <c r="C140" s="399"/>
      <c r="D140" s="399"/>
      <c r="E140" s="398"/>
      <c r="F140" s="398"/>
      <c r="G140" s="398"/>
      <c r="H140" s="398"/>
      <c r="I140" s="398"/>
      <c r="J140" s="398"/>
    </row>
    <row r="141" spans="2:10" ht="18.75">
      <c r="B141" s="398"/>
      <c r="C141" s="399"/>
      <c r="D141" s="399"/>
      <c r="E141" s="398"/>
      <c r="F141" s="398"/>
      <c r="G141" s="398"/>
      <c r="H141" s="398"/>
      <c r="I141" s="398"/>
      <c r="J141" s="398"/>
    </row>
    <row r="142" spans="2:10" ht="18.75">
      <c r="B142" s="398"/>
      <c r="C142" s="399"/>
      <c r="D142" s="399"/>
      <c r="E142" s="398"/>
      <c r="F142" s="398"/>
      <c r="G142" s="398"/>
      <c r="H142" s="398"/>
      <c r="I142" s="398"/>
      <c r="J142" s="398"/>
    </row>
    <row r="143" spans="2:10" ht="18.75">
      <c r="B143" s="398"/>
      <c r="C143" s="399"/>
      <c r="D143" s="399"/>
      <c r="E143" s="398"/>
      <c r="F143" s="398"/>
      <c r="G143" s="398"/>
      <c r="H143" s="398"/>
      <c r="I143" s="398"/>
      <c r="J143" s="398"/>
    </row>
    <row r="144" spans="2:10" ht="18.75">
      <c r="B144" s="398"/>
      <c r="C144" s="399"/>
      <c r="D144" s="399"/>
      <c r="E144" s="398"/>
      <c r="F144" s="398"/>
      <c r="G144" s="398"/>
      <c r="H144" s="398"/>
      <c r="I144" s="398"/>
      <c r="J144" s="398"/>
    </row>
    <row r="145" spans="2:10" ht="18.75">
      <c r="B145" s="398"/>
      <c r="C145" s="399"/>
      <c r="D145" s="399"/>
      <c r="E145" s="398"/>
      <c r="F145" s="398"/>
      <c r="G145" s="398"/>
      <c r="H145" s="398"/>
      <c r="I145" s="398"/>
      <c r="J145" s="398"/>
    </row>
    <row r="146" spans="2:10" ht="18.75">
      <c r="B146" s="398"/>
      <c r="C146" s="399"/>
      <c r="D146" s="399"/>
      <c r="E146" s="398"/>
      <c r="F146" s="398"/>
      <c r="G146" s="398"/>
      <c r="H146" s="398"/>
      <c r="I146" s="398"/>
      <c r="J146" s="398"/>
    </row>
    <row r="147" spans="2:10" ht="18.75">
      <c r="B147" s="398"/>
      <c r="C147" s="399"/>
      <c r="D147" s="399"/>
      <c r="E147" s="398"/>
      <c r="F147" s="398"/>
      <c r="G147" s="398"/>
      <c r="H147" s="398"/>
      <c r="I147" s="398"/>
      <c r="J147" s="398"/>
    </row>
    <row r="148" spans="2:10" ht="18.75">
      <c r="B148" s="398"/>
      <c r="C148" s="399"/>
      <c r="D148" s="399"/>
      <c r="E148" s="398"/>
      <c r="F148" s="398"/>
      <c r="G148" s="398"/>
      <c r="H148" s="398"/>
      <c r="I148" s="398"/>
      <c r="J148" s="398"/>
    </row>
    <row r="149" spans="2:10" ht="18.75">
      <c r="B149" s="398"/>
      <c r="C149" s="399"/>
      <c r="D149" s="399"/>
      <c r="E149" s="398"/>
      <c r="F149" s="398"/>
      <c r="G149" s="398"/>
      <c r="H149" s="398"/>
      <c r="I149" s="398"/>
      <c r="J149" s="398"/>
    </row>
    <row r="150" spans="2:10" ht="18.75">
      <c r="B150" s="398"/>
      <c r="C150" s="399"/>
      <c r="D150" s="399"/>
      <c r="E150" s="398"/>
      <c r="F150" s="398"/>
      <c r="G150" s="398"/>
      <c r="H150" s="398"/>
      <c r="I150" s="398"/>
      <c r="J150" s="398"/>
    </row>
    <row r="151" spans="2:10" ht="18.75">
      <c r="B151" s="398"/>
      <c r="C151" s="399"/>
      <c r="D151" s="399"/>
      <c r="E151" s="398"/>
      <c r="F151" s="398"/>
      <c r="G151" s="398"/>
      <c r="H151" s="398"/>
      <c r="I151" s="398"/>
      <c r="J151" s="398"/>
    </row>
    <row r="152" spans="2:10" ht="18.75">
      <c r="B152" s="398"/>
      <c r="C152" s="399"/>
      <c r="D152" s="399"/>
      <c r="E152" s="398"/>
      <c r="F152" s="398"/>
      <c r="G152" s="398"/>
      <c r="H152" s="398"/>
      <c r="I152" s="398"/>
      <c r="J152" s="398"/>
    </row>
    <row r="153" spans="2:10" ht="18.75">
      <c r="B153" s="398"/>
      <c r="C153" s="399"/>
      <c r="D153" s="399"/>
      <c r="E153" s="398"/>
      <c r="F153" s="398"/>
      <c r="G153" s="398"/>
      <c r="H153" s="398"/>
      <c r="I153" s="398"/>
      <c r="J153" s="398"/>
    </row>
    <row r="154" spans="2:10" ht="18.75">
      <c r="B154" s="398"/>
      <c r="C154" s="399"/>
      <c r="D154" s="399"/>
      <c r="E154" s="398"/>
      <c r="F154" s="398"/>
      <c r="G154" s="398"/>
      <c r="H154" s="398"/>
      <c r="I154" s="398"/>
      <c r="J154" s="398"/>
    </row>
    <row r="155" spans="2:10" ht="18.75">
      <c r="B155" s="398"/>
      <c r="C155" s="399"/>
      <c r="D155" s="399"/>
      <c r="E155" s="398"/>
      <c r="F155" s="398"/>
      <c r="G155" s="398"/>
      <c r="H155" s="398"/>
      <c r="I155" s="398"/>
      <c r="J155" s="398"/>
    </row>
    <row r="156" spans="2:10" ht="18.75">
      <c r="B156" s="398"/>
      <c r="C156" s="399"/>
      <c r="D156" s="399"/>
      <c r="E156" s="398"/>
      <c r="F156" s="398"/>
      <c r="G156" s="398"/>
      <c r="H156" s="398"/>
      <c r="I156" s="398"/>
      <c r="J156" s="398"/>
    </row>
    <row r="157" spans="2:10" ht="18.75">
      <c r="B157" s="398"/>
      <c r="C157" s="399"/>
      <c r="D157" s="399"/>
      <c r="E157" s="398"/>
      <c r="F157" s="398"/>
      <c r="G157" s="398"/>
      <c r="H157" s="398"/>
      <c r="I157" s="398"/>
      <c r="J157" s="398"/>
    </row>
    <row r="158" spans="2:10" ht="18.75">
      <c r="B158" s="398"/>
      <c r="C158" s="399"/>
      <c r="D158" s="399"/>
      <c r="E158" s="398"/>
      <c r="F158" s="398"/>
      <c r="G158" s="398"/>
      <c r="H158" s="398"/>
      <c r="I158" s="398"/>
      <c r="J158" s="398"/>
    </row>
    <row r="159" spans="2:10" ht="18.75">
      <c r="B159" s="398"/>
      <c r="C159" s="399"/>
      <c r="D159" s="399"/>
      <c r="E159" s="398"/>
      <c r="F159" s="398"/>
      <c r="G159" s="398"/>
      <c r="H159" s="398"/>
      <c r="I159" s="398"/>
      <c r="J159" s="398"/>
    </row>
    <row r="160" spans="2:10" ht="18.75">
      <c r="B160" s="398"/>
      <c r="C160" s="399"/>
      <c r="D160" s="399"/>
      <c r="E160" s="398"/>
      <c r="F160" s="398"/>
      <c r="G160" s="398"/>
      <c r="H160" s="398"/>
      <c r="I160" s="398"/>
      <c r="J160" s="398"/>
    </row>
    <row r="161" spans="2:10" ht="18.75">
      <c r="B161" s="398"/>
      <c r="C161" s="399"/>
      <c r="D161" s="399"/>
      <c r="E161" s="398"/>
      <c r="F161" s="398"/>
      <c r="G161" s="398"/>
      <c r="H161" s="398"/>
      <c r="I161" s="398"/>
      <c r="J161" s="398"/>
    </row>
    <row r="162" spans="2:10" ht="18.75">
      <c r="B162" s="398"/>
      <c r="C162" s="399"/>
      <c r="D162" s="399"/>
      <c r="E162" s="398"/>
      <c r="F162" s="398"/>
      <c r="G162" s="398"/>
      <c r="H162" s="398"/>
      <c r="I162" s="398"/>
      <c r="J162" s="398"/>
    </row>
    <row r="163" spans="2:10" ht="18.75">
      <c r="B163" s="398"/>
      <c r="C163" s="399"/>
      <c r="D163" s="399"/>
      <c r="E163" s="398"/>
      <c r="F163" s="398"/>
      <c r="G163" s="398"/>
      <c r="H163" s="398"/>
      <c r="I163" s="398"/>
      <c r="J163" s="398"/>
    </row>
    <row r="164" spans="2:10" ht="18.75">
      <c r="B164" s="398"/>
      <c r="C164" s="399"/>
      <c r="D164" s="399"/>
      <c r="E164" s="398"/>
      <c r="F164" s="398"/>
      <c r="G164" s="398"/>
      <c r="H164" s="398"/>
      <c r="I164" s="398"/>
      <c r="J164" s="398"/>
    </row>
    <row r="165" spans="2:10" ht="18.75">
      <c r="B165" s="398"/>
      <c r="C165" s="399"/>
      <c r="D165" s="399"/>
      <c r="E165" s="398"/>
      <c r="F165" s="398"/>
      <c r="G165" s="398"/>
      <c r="H165" s="398"/>
      <c r="I165" s="398"/>
      <c r="J165" s="398"/>
    </row>
    <row r="166" spans="2:10" ht="18.75">
      <c r="B166" s="398"/>
      <c r="C166" s="399"/>
      <c r="D166" s="399"/>
      <c r="E166" s="398"/>
      <c r="F166" s="398"/>
      <c r="G166" s="398"/>
      <c r="H166" s="398"/>
      <c r="I166" s="398"/>
      <c r="J166" s="398"/>
    </row>
    <row r="167" spans="2:10" ht="18.75">
      <c r="B167" s="398"/>
      <c r="C167" s="399"/>
      <c r="D167" s="399"/>
      <c r="E167" s="398"/>
      <c r="F167" s="398"/>
      <c r="G167" s="398"/>
      <c r="H167" s="398"/>
      <c r="I167" s="398"/>
      <c r="J167" s="398"/>
    </row>
    <row r="168" spans="2:10" ht="18.75">
      <c r="B168" s="398"/>
      <c r="C168" s="399"/>
      <c r="D168" s="399"/>
      <c r="E168" s="398"/>
      <c r="F168" s="398"/>
      <c r="G168" s="398"/>
      <c r="H168" s="398"/>
      <c r="I168" s="398"/>
      <c r="J168" s="398"/>
    </row>
    <row r="169" spans="2:10" ht="18.75">
      <c r="B169" s="398"/>
      <c r="C169" s="399"/>
      <c r="D169" s="399"/>
      <c r="E169" s="398"/>
      <c r="F169" s="398"/>
      <c r="G169" s="398"/>
      <c r="H169" s="398"/>
      <c r="I169" s="398"/>
      <c r="J169" s="398"/>
    </row>
    <row r="170" spans="2:10" ht="18.75">
      <c r="B170" s="398"/>
      <c r="C170" s="399"/>
      <c r="D170" s="399"/>
      <c r="E170" s="398"/>
      <c r="F170" s="398"/>
      <c r="G170" s="398"/>
      <c r="H170" s="398"/>
      <c r="I170" s="398"/>
      <c r="J170" s="398"/>
    </row>
    <row r="171" spans="2:10" ht="18.75">
      <c r="B171" s="398"/>
      <c r="C171" s="399"/>
      <c r="D171" s="399"/>
      <c r="E171" s="398"/>
      <c r="F171" s="398"/>
      <c r="G171" s="398"/>
      <c r="H171" s="398"/>
      <c r="I171" s="398"/>
      <c r="J171" s="398"/>
    </row>
    <row r="172" spans="2:10" ht="18.75">
      <c r="B172" s="398"/>
      <c r="C172" s="399"/>
      <c r="D172" s="399"/>
      <c r="E172" s="398"/>
      <c r="F172" s="398"/>
      <c r="G172" s="398"/>
      <c r="H172" s="398"/>
      <c r="I172" s="398"/>
      <c r="J172" s="398"/>
    </row>
    <row r="173" spans="2:10" ht="18.75">
      <c r="B173" s="398"/>
      <c r="C173" s="399"/>
      <c r="D173" s="399"/>
      <c r="E173" s="398"/>
      <c r="F173" s="398"/>
      <c r="G173" s="398"/>
      <c r="H173" s="398"/>
      <c r="I173" s="398"/>
      <c r="J173" s="398"/>
    </row>
    <row r="174" spans="2:10" ht="18.75">
      <c r="B174" s="398"/>
      <c r="C174" s="399"/>
      <c r="D174" s="399"/>
      <c r="E174" s="398"/>
      <c r="F174" s="398"/>
      <c r="G174" s="398"/>
      <c r="H174" s="398"/>
      <c r="I174" s="398"/>
      <c r="J174" s="398"/>
    </row>
    <row r="175" spans="2:10" ht="18.75">
      <c r="B175" s="398"/>
      <c r="C175" s="399"/>
      <c r="D175" s="399"/>
      <c r="E175" s="398"/>
      <c r="F175" s="398"/>
      <c r="G175" s="398"/>
      <c r="H175" s="398"/>
      <c r="I175" s="398"/>
      <c r="J175" s="398"/>
    </row>
    <row r="176" spans="2:10" ht="18.75">
      <c r="B176" s="398"/>
      <c r="C176" s="399"/>
      <c r="D176" s="399"/>
      <c r="E176" s="398"/>
      <c r="F176" s="398"/>
      <c r="G176" s="398"/>
      <c r="H176" s="398"/>
      <c r="I176" s="398"/>
      <c r="J176" s="398"/>
    </row>
    <row r="177" spans="2:10" ht="18.75">
      <c r="B177" s="398"/>
      <c r="C177" s="399"/>
      <c r="D177" s="399"/>
      <c r="E177" s="398"/>
      <c r="F177" s="398"/>
      <c r="G177" s="398"/>
      <c r="H177" s="398"/>
      <c r="I177" s="398"/>
      <c r="J177" s="398"/>
    </row>
    <row r="178" spans="2:10" ht="18.75">
      <c r="B178" s="398"/>
      <c r="C178" s="399"/>
      <c r="D178" s="399"/>
      <c r="E178" s="398"/>
      <c r="F178" s="398"/>
      <c r="G178" s="398"/>
      <c r="H178" s="398"/>
      <c r="I178" s="398"/>
      <c r="J178" s="398"/>
    </row>
    <row r="179" spans="2:10" ht="18.75">
      <c r="B179" s="398"/>
      <c r="C179" s="399"/>
      <c r="D179" s="399"/>
      <c r="E179" s="398"/>
      <c r="F179" s="398"/>
      <c r="G179" s="398"/>
      <c r="H179" s="398"/>
      <c r="I179" s="398"/>
      <c r="J179" s="398"/>
    </row>
    <row r="180" spans="2:10" ht="18.75">
      <c r="B180" s="398"/>
      <c r="C180" s="399"/>
      <c r="D180" s="399"/>
      <c r="E180" s="398"/>
      <c r="F180" s="398"/>
      <c r="G180" s="398"/>
      <c r="H180" s="398"/>
      <c r="I180" s="398"/>
      <c r="J180" s="398"/>
    </row>
    <row r="181" spans="2:10" ht="18.75">
      <c r="B181" s="398"/>
      <c r="C181" s="399"/>
      <c r="D181" s="399"/>
      <c r="E181" s="398"/>
      <c r="F181" s="398"/>
      <c r="G181" s="398"/>
      <c r="H181" s="398"/>
      <c r="I181" s="398"/>
      <c r="J181" s="398"/>
    </row>
    <row r="182" spans="2:10" ht="18.75">
      <c r="B182" s="398"/>
      <c r="C182" s="399"/>
      <c r="D182" s="399"/>
      <c r="E182" s="398"/>
      <c r="F182" s="398"/>
      <c r="G182" s="398"/>
      <c r="H182" s="398"/>
      <c r="I182" s="398"/>
      <c r="J182" s="398"/>
    </row>
    <row r="183" spans="2:10" ht="18.75">
      <c r="B183" s="398"/>
      <c r="C183" s="399"/>
      <c r="D183" s="399"/>
      <c r="E183" s="398"/>
      <c r="F183" s="398"/>
      <c r="G183" s="398"/>
      <c r="H183" s="398"/>
      <c r="I183" s="398"/>
      <c r="J183" s="398"/>
    </row>
    <row r="184" spans="2:10" ht="18.75">
      <c r="B184" s="398"/>
      <c r="C184" s="399"/>
      <c r="D184" s="399"/>
      <c r="E184" s="398"/>
      <c r="F184" s="398"/>
      <c r="G184" s="398"/>
      <c r="H184" s="398"/>
      <c r="I184" s="398"/>
      <c r="J184" s="398"/>
    </row>
    <row r="185" spans="2:10" ht="18.75">
      <c r="B185" s="398"/>
      <c r="C185" s="399"/>
      <c r="D185" s="399"/>
      <c r="E185" s="398"/>
      <c r="F185" s="398"/>
      <c r="G185" s="398"/>
      <c r="H185" s="398"/>
      <c r="I185" s="398"/>
      <c r="J185" s="398"/>
    </row>
    <row r="186" spans="2:10" ht="18.75">
      <c r="B186" s="398"/>
      <c r="C186" s="399"/>
      <c r="D186" s="399"/>
      <c r="E186" s="398"/>
      <c r="F186" s="398"/>
      <c r="G186" s="398"/>
      <c r="H186" s="398"/>
      <c r="I186" s="398"/>
      <c r="J186" s="398"/>
    </row>
    <row r="187" spans="2:10" ht="18.75">
      <c r="B187" s="398"/>
      <c r="C187" s="399"/>
      <c r="D187" s="399"/>
      <c r="E187" s="398"/>
      <c r="F187" s="398"/>
      <c r="G187" s="398"/>
      <c r="H187" s="398"/>
      <c r="I187" s="398"/>
      <c r="J187" s="398"/>
    </row>
    <row r="188" spans="2:10" ht="18.75">
      <c r="B188" s="398"/>
      <c r="C188" s="399"/>
      <c r="D188" s="399"/>
      <c r="E188" s="398"/>
      <c r="F188" s="398"/>
      <c r="G188" s="398"/>
      <c r="H188" s="398"/>
      <c r="I188" s="398"/>
      <c r="J188" s="398"/>
    </row>
    <row r="189" spans="2:10" ht="18.75">
      <c r="B189" s="398"/>
      <c r="C189" s="399"/>
      <c r="D189" s="399"/>
      <c r="E189" s="398"/>
      <c r="F189" s="398"/>
      <c r="G189" s="398"/>
      <c r="H189" s="398"/>
      <c r="I189" s="398"/>
      <c r="J189" s="398"/>
    </row>
    <row r="190" spans="2:10" ht="18.75">
      <c r="B190" s="398"/>
      <c r="C190" s="399"/>
      <c r="D190" s="399"/>
      <c r="E190" s="398"/>
      <c r="F190" s="398"/>
      <c r="G190" s="398"/>
      <c r="H190" s="398"/>
      <c r="I190" s="398"/>
      <c r="J190" s="398"/>
    </row>
    <row r="191" spans="2:10" ht="18.75">
      <c r="B191" s="398"/>
      <c r="C191" s="399"/>
      <c r="D191" s="399"/>
      <c r="E191" s="398"/>
      <c r="F191" s="398"/>
      <c r="G191" s="398"/>
      <c r="H191" s="398"/>
      <c r="I191" s="398"/>
      <c r="J191" s="398"/>
    </row>
    <row r="192" spans="2:10" ht="18.75">
      <c r="B192" s="398"/>
      <c r="C192" s="399"/>
      <c r="D192" s="399"/>
      <c r="E192" s="398"/>
      <c r="F192" s="398"/>
      <c r="G192" s="398"/>
      <c r="H192" s="398"/>
      <c r="I192" s="398"/>
      <c r="J192" s="398"/>
    </row>
    <row r="193" spans="2:10" ht="18.75">
      <c r="B193" s="398"/>
      <c r="C193" s="399"/>
      <c r="D193" s="399"/>
      <c r="E193" s="398"/>
      <c r="F193" s="398"/>
      <c r="G193" s="398"/>
      <c r="H193" s="398"/>
      <c r="I193" s="398"/>
      <c r="J193" s="398"/>
    </row>
    <row r="194" spans="2:10" ht="18.75">
      <c r="B194" s="398"/>
      <c r="C194" s="399"/>
      <c r="D194" s="399"/>
      <c r="E194" s="398"/>
      <c r="F194" s="398"/>
      <c r="G194" s="398"/>
      <c r="H194" s="398"/>
      <c r="I194" s="398"/>
      <c r="J194" s="398"/>
    </row>
    <row r="195" spans="2:10" ht="18.75">
      <c r="B195" s="398"/>
      <c r="C195" s="399"/>
      <c r="D195" s="399"/>
      <c r="E195" s="398"/>
      <c r="F195" s="398"/>
      <c r="G195" s="398"/>
      <c r="H195" s="398"/>
      <c r="I195" s="398"/>
      <c r="J195" s="398"/>
    </row>
    <row r="196" spans="2:10" ht="18.75">
      <c r="B196" s="398"/>
      <c r="C196" s="399"/>
      <c r="D196" s="399"/>
      <c r="E196" s="398"/>
      <c r="F196" s="398"/>
      <c r="G196" s="398"/>
      <c r="H196" s="398"/>
      <c r="I196" s="398"/>
      <c r="J196" s="398"/>
    </row>
    <row r="197" spans="2:10" ht="18.75">
      <c r="B197" s="398"/>
      <c r="C197" s="399"/>
      <c r="D197" s="399"/>
      <c r="E197" s="398"/>
      <c r="F197" s="398"/>
      <c r="G197" s="398"/>
      <c r="H197" s="398"/>
      <c r="I197" s="398"/>
      <c r="J197" s="398"/>
    </row>
    <row r="198" spans="2:10" ht="18.75">
      <c r="B198" s="398"/>
      <c r="C198" s="399"/>
      <c r="D198" s="399"/>
      <c r="E198" s="398"/>
      <c r="F198" s="398"/>
      <c r="G198" s="398"/>
      <c r="H198" s="398"/>
      <c r="I198" s="398"/>
      <c r="J198" s="398"/>
    </row>
    <row r="199" spans="2:10" ht="18.75">
      <c r="B199" s="398"/>
      <c r="C199" s="399"/>
      <c r="D199" s="399"/>
      <c r="E199" s="398"/>
      <c r="F199" s="398"/>
      <c r="G199" s="398"/>
      <c r="H199" s="398"/>
      <c r="I199" s="398"/>
      <c r="J199" s="398"/>
    </row>
    <row r="200" spans="2:10" ht="18.75">
      <c r="B200" s="398"/>
      <c r="C200" s="399"/>
      <c r="D200" s="399"/>
      <c r="E200" s="398"/>
      <c r="F200" s="398"/>
      <c r="G200" s="398"/>
      <c r="H200" s="398"/>
      <c r="I200" s="398"/>
      <c r="J200" s="398"/>
    </row>
    <row r="201" spans="2:10" ht="18.75">
      <c r="B201" s="398"/>
      <c r="C201" s="399"/>
      <c r="D201" s="399"/>
      <c r="E201" s="398"/>
      <c r="F201" s="398"/>
      <c r="G201" s="398"/>
      <c r="H201" s="398"/>
      <c r="I201" s="398"/>
      <c r="J201" s="398"/>
    </row>
    <row r="202" spans="2:10" ht="18.75">
      <c r="B202" s="398"/>
      <c r="C202" s="399"/>
      <c r="D202" s="399"/>
      <c r="E202" s="398"/>
      <c r="F202" s="398"/>
      <c r="G202" s="398"/>
      <c r="H202" s="398"/>
      <c r="I202" s="398"/>
      <c r="J202" s="398"/>
    </row>
    <row r="203" spans="2:10" ht="18.75">
      <c r="B203" s="398"/>
      <c r="C203" s="399"/>
      <c r="D203" s="399"/>
      <c r="E203" s="398"/>
      <c r="F203" s="398"/>
      <c r="G203" s="398"/>
      <c r="H203" s="398"/>
      <c r="I203" s="398"/>
      <c r="J203" s="398"/>
    </row>
    <row r="204" spans="2:10" ht="18.75">
      <c r="B204" s="398"/>
      <c r="C204" s="399"/>
      <c r="D204" s="399"/>
      <c r="E204" s="398"/>
      <c r="F204" s="398"/>
      <c r="G204" s="398"/>
      <c r="H204" s="398"/>
      <c r="I204" s="398"/>
      <c r="J204" s="398"/>
    </row>
    <row r="205" spans="2:10" ht="18.75">
      <c r="B205" s="398"/>
      <c r="C205" s="399"/>
      <c r="D205" s="399"/>
      <c r="E205" s="398"/>
      <c r="F205" s="398"/>
      <c r="G205" s="398"/>
      <c r="H205" s="398"/>
      <c r="I205" s="398"/>
      <c r="J205" s="398"/>
    </row>
    <row r="206" spans="2:10" ht="18.75">
      <c r="B206" s="398"/>
      <c r="C206" s="399"/>
      <c r="D206" s="399"/>
      <c r="E206" s="398"/>
      <c r="F206" s="398"/>
      <c r="G206" s="398"/>
      <c r="H206" s="398"/>
      <c r="I206" s="398"/>
      <c r="J206" s="398"/>
    </row>
    <row r="207" spans="2:10" ht="18.75">
      <c r="B207" s="398"/>
      <c r="C207" s="399"/>
      <c r="D207" s="399"/>
      <c r="E207" s="398"/>
      <c r="F207" s="398"/>
      <c r="G207" s="398"/>
      <c r="H207" s="398"/>
      <c r="I207" s="398"/>
      <c r="J207" s="398"/>
    </row>
    <row r="208" spans="2:10" ht="18.75">
      <c r="B208" s="398"/>
      <c r="C208" s="399"/>
      <c r="D208" s="399"/>
      <c r="E208" s="398"/>
      <c r="F208" s="398"/>
      <c r="G208" s="398"/>
      <c r="H208" s="398"/>
      <c r="I208" s="398"/>
      <c r="J208" s="398"/>
    </row>
    <row r="209" spans="2:10" ht="18.75">
      <c r="B209" s="398"/>
      <c r="C209" s="399"/>
      <c r="D209" s="399"/>
      <c r="E209" s="398"/>
      <c r="F209" s="398"/>
      <c r="G209" s="398"/>
      <c r="H209" s="398"/>
      <c r="I209" s="398"/>
      <c r="J209" s="398"/>
    </row>
    <row r="210" spans="2:10" ht="18.75">
      <c r="B210" s="398"/>
      <c r="C210" s="399"/>
      <c r="D210" s="399"/>
      <c r="E210" s="398"/>
      <c r="F210" s="398"/>
      <c r="G210" s="398"/>
      <c r="H210" s="398"/>
      <c r="I210" s="398"/>
      <c r="J210" s="398"/>
    </row>
    <row r="211" spans="2:10" ht="18.75">
      <c r="B211" s="398"/>
      <c r="C211" s="399"/>
      <c r="D211" s="399"/>
      <c r="E211" s="398"/>
      <c r="F211" s="398"/>
      <c r="G211" s="398"/>
      <c r="H211" s="398"/>
      <c r="I211" s="398"/>
      <c r="J211" s="398"/>
    </row>
    <row r="212" spans="2:10" ht="18.75">
      <c r="B212" s="398"/>
      <c r="C212" s="399"/>
      <c r="D212" s="399"/>
      <c r="E212" s="398"/>
      <c r="F212" s="398"/>
      <c r="G212" s="398"/>
      <c r="H212" s="398"/>
      <c r="I212" s="398"/>
      <c r="J212" s="398"/>
    </row>
    <row r="213" spans="2:10" ht="18.75">
      <c r="B213" s="398"/>
      <c r="C213" s="399"/>
      <c r="D213" s="399"/>
      <c r="E213" s="398"/>
      <c r="F213" s="398"/>
      <c r="G213" s="398"/>
      <c r="H213" s="398"/>
      <c r="I213" s="398"/>
      <c r="J213" s="398"/>
    </row>
    <row r="214" spans="2:10" ht="18.75">
      <c r="B214" s="398"/>
      <c r="C214" s="399"/>
      <c r="D214" s="399"/>
      <c r="E214" s="398"/>
      <c r="F214" s="398"/>
      <c r="G214" s="398"/>
      <c r="H214" s="398"/>
      <c r="I214" s="398"/>
      <c r="J214" s="398"/>
    </row>
    <row r="215" spans="2:10" ht="18.75">
      <c r="B215" s="398"/>
      <c r="C215" s="399"/>
      <c r="D215" s="399"/>
      <c r="E215" s="398"/>
      <c r="F215" s="398"/>
      <c r="G215" s="398"/>
      <c r="H215" s="398"/>
      <c r="I215" s="398"/>
      <c r="J215" s="398"/>
    </row>
    <row r="216" spans="2:10" ht="18.75">
      <c r="B216" s="398"/>
      <c r="C216" s="399"/>
      <c r="D216" s="399"/>
      <c r="E216" s="398"/>
      <c r="F216" s="398"/>
      <c r="G216" s="398"/>
      <c r="H216" s="398"/>
      <c r="I216" s="398"/>
      <c r="J216" s="398"/>
    </row>
    <row r="217" spans="2:10" ht="18.75">
      <c r="B217" s="398"/>
      <c r="C217" s="399"/>
      <c r="D217" s="399"/>
      <c r="E217" s="398"/>
      <c r="F217" s="398"/>
      <c r="G217" s="398"/>
      <c r="H217" s="398"/>
      <c r="I217" s="398"/>
      <c r="J217" s="398"/>
    </row>
    <row r="218" spans="2:10" ht="18.75">
      <c r="B218" s="398"/>
      <c r="C218" s="399"/>
      <c r="D218" s="399"/>
      <c r="E218" s="398"/>
      <c r="F218" s="398"/>
      <c r="G218" s="398"/>
      <c r="H218" s="398"/>
      <c r="I218" s="398"/>
      <c r="J218" s="398"/>
    </row>
    <row r="219" spans="2:10" ht="18.75">
      <c r="B219" s="398"/>
      <c r="C219" s="399"/>
      <c r="D219" s="399"/>
      <c r="E219" s="398"/>
      <c r="F219" s="398"/>
      <c r="G219" s="398"/>
      <c r="H219" s="398"/>
      <c r="I219" s="398"/>
      <c r="J219" s="398"/>
    </row>
    <row r="220" spans="2:10" ht="18.75">
      <c r="B220" s="398"/>
      <c r="C220" s="399"/>
      <c r="D220" s="399"/>
      <c r="E220" s="398"/>
      <c r="F220" s="398"/>
      <c r="G220" s="398"/>
      <c r="H220" s="398"/>
      <c r="I220" s="398"/>
      <c r="J220" s="398"/>
    </row>
    <row r="221" spans="2:10" ht="18.75">
      <c r="B221" s="398"/>
      <c r="C221" s="399"/>
      <c r="D221" s="399"/>
      <c r="E221" s="398"/>
      <c r="F221" s="398"/>
      <c r="G221" s="398"/>
      <c r="H221" s="398"/>
      <c r="I221" s="398"/>
      <c r="J221" s="398"/>
    </row>
    <row r="222" spans="2:10" ht="18.75">
      <c r="B222" s="398"/>
      <c r="C222" s="399"/>
      <c r="D222" s="399"/>
      <c r="E222" s="398"/>
      <c r="F222" s="398"/>
      <c r="G222" s="398"/>
      <c r="H222" s="398"/>
      <c r="I222" s="398"/>
      <c r="J222" s="398"/>
    </row>
    <row r="223" spans="2:10" ht="18.75">
      <c r="B223" s="398"/>
      <c r="C223" s="399"/>
      <c r="D223" s="399"/>
      <c r="E223" s="398"/>
      <c r="F223" s="398"/>
      <c r="G223" s="398"/>
      <c r="H223" s="398"/>
      <c r="I223" s="398"/>
      <c r="J223" s="398"/>
    </row>
    <row r="224" spans="2:10" ht="18.75">
      <c r="B224" s="398"/>
      <c r="C224" s="399"/>
      <c r="D224" s="399"/>
      <c r="E224" s="398"/>
      <c r="F224" s="398"/>
      <c r="G224" s="398"/>
      <c r="H224" s="398"/>
      <c r="I224" s="398"/>
      <c r="J224" s="398"/>
    </row>
    <row r="225" spans="2:10" ht="18.75">
      <c r="B225" s="398"/>
      <c r="C225" s="399"/>
      <c r="D225" s="399"/>
      <c r="E225" s="398"/>
      <c r="F225" s="398"/>
      <c r="G225" s="398"/>
      <c r="H225" s="398"/>
      <c r="I225" s="398"/>
      <c r="J225" s="398"/>
    </row>
    <row r="226" spans="2:10" ht="18.75">
      <c r="B226" s="398"/>
      <c r="C226" s="399"/>
      <c r="D226" s="399"/>
      <c r="E226" s="398"/>
      <c r="F226" s="398"/>
      <c r="G226" s="398"/>
      <c r="H226" s="398"/>
      <c r="I226" s="398"/>
      <c r="J226" s="398"/>
    </row>
    <row r="227" spans="2:10" ht="18.75">
      <c r="B227" s="398"/>
      <c r="C227" s="399"/>
      <c r="D227" s="399"/>
      <c r="E227" s="398"/>
      <c r="F227" s="398"/>
      <c r="G227" s="398"/>
      <c r="H227" s="398"/>
      <c r="I227" s="398"/>
      <c r="J227" s="398"/>
    </row>
    <row r="228" spans="2:10" ht="18.75">
      <c r="B228" s="398"/>
      <c r="C228" s="399"/>
      <c r="D228" s="399"/>
      <c r="E228" s="398"/>
      <c r="F228" s="398"/>
      <c r="G228" s="398"/>
      <c r="H228" s="398"/>
      <c r="I228" s="398"/>
      <c r="J228" s="398"/>
    </row>
    <row r="229" spans="2:10" ht="18.75">
      <c r="B229" s="398"/>
      <c r="C229" s="399"/>
      <c r="D229" s="399"/>
      <c r="E229" s="398"/>
      <c r="F229" s="398"/>
      <c r="G229" s="398"/>
      <c r="H229" s="398"/>
      <c r="I229" s="398"/>
      <c r="J229" s="398"/>
    </row>
    <row r="230" spans="2:10" ht="18.75">
      <c r="B230" s="398"/>
      <c r="C230" s="399"/>
      <c r="D230" s="399"/>
      <c r="E230" s="398"/>
      <c r="F230" s="398"/>
      <c r="G230" s="398"/>
      <c r="H230" s="398"/>
      <c r="I230" s="398"/>
      <c r="J230" s="398"/>
    </row>
    <row r="231" spans="2:10" ht="18.75">
      <c r="B231" s="398"/>
      <c r="C231" s="399"/>
      <c r="D231" s="399"/>
      <c r="E231" s="398"/>
      <c r="F231" s="398"/>
      <c r="G231" s="398"/>
      <c r="H231" s="398"/>
      <c r="I231" s="398"/>
      <c r="J231" s="398"/>
    </row>
    <row r="232" spans="2:10" ht="18.75">
      <c r="B232" s="398"/>
      <c r="C232" s="399"/>
      <c r="D232" s="399"/>
      <c r="E232" s="398"/>
      <c r="F232" s="398"/>
      <c r="G232" s="398"/>
      <c r="H232" s="398"/>
      <c r="I232" s="398"/>
      <c r="J232" s="398"/>
    </row>
    <row r="233" spans="2:10" ht="18.75">
      <c r="B233" s="398"/>
      <c r="C233" s="399"/>
      <c r="D233" s="399"/>
      <c r="E233" s="398"/>
      <c r="F233" s="398"/>
      <c r="G233" s="398"/>
      <c r="H233" s="398"/>
      <c r="I233" s="398"/>
      <c r="J233" s="398"/>
    </row>
    <row r="234" spans="2:10" ht="18.75">
      <c r="B234" s="398"/>
      <c r="C234" s="399"/>
      <c r="D234" s="399"/>
      <c r="E234" s="398"/>
      <c r="F234" s="398"/>
      <c r="G234" s="398"/>
      <c r="H234" s="398"/>
      <c r="I234" s="398"/>
      <c r="J234" s="398"/>
    </row>
    <row r="235" spans="2:10" ht="18.75">
      <c r="B235" s="398"/>
      <c r="C235" s="399"/>
      <c r="D235" s="399"/>
      <c r="E235" s="398"/>
      <c r="F235" s="398"/>
      <c r="G235" s="398"/>
      <c r="H235" s="398"/>
      <c r="I235" s="398"/>
      <c r="J235" s="398"/>
    </row>
    <row r="236" spans="2:10" ht="18.75">
      <c r="B236" s="398"/>
      <c r="C236" s="399"/>
      <c r="D236" s="399"/>
      <c r="E236" s="398"/>
      <c r="F236" s="398"/>
      <c r="G236" s="398"/>
      <c r="H236" s="398"/>
      <c r="I236" s="398"/>
      <c r="J236" s="398"/>
    </row>
    <row r="237" spans="2:10" ht="18.75">
      <c r="B237" s="398"/>
      <c r="C237" s="399"/>
      <c r="D237" s="399"/>
      <c r="E237" s="398"/>
      <c r="F237" s="398"/>
      <c r="G237" s="398"/>
      <c r="H237" s="398"/>
      <c r="I237" s="398"/>
      <c r="J237" s="398"/>
    </row>
    <row r="238" spans="2:10" ht="18.75">
      <c r="B238" s="398"/>
      <c r="C238" s="399"/>
      <c r="D238" s="399"/>
      <c r="E238" s="398"/>
      <c r="F238" s="398"/>
      <c r="G238" s="398"/>
      <c r="H238" s="398"/>
      <c r="I238" s="398"/>
      <c r="J238" s="398"/>
    </row>
    <row r="239" spans="2:10" ht="18.75">
      <c r="B239" s="398"/>
      <c r="C239" s="399"/>
      <c r="D239" s="399"/>
      <c r="E239" s="398"/>
      <c r="F239" s="398"/>
      <c r="G239" s="398"/>
      <c r="H239" s="398"/>
      <c r="I239" s="398"/>
      <c r="J239" s="398"/>
    </row>
    <row r="240" spans="2:10" ht="18.75">
      <c r="B240" s="398"/>
      <c r="C240" s="399"/>
      <c r="D240" s="399"/>
      <c r="E240" s="398"/>
      <c r="F240" s="398"/>
      <c r="G240" s="398"/>
      <c r="H240" s="398"/>
      <c r="I240" s="398"/>
      <c r="J240" s="398"/>
    </row>
    <row r="241" spans="2:10" ht="18.75">
      <c r="B241" s="398"/>
      <c r="C241" s="399"/>
      <c r="D241" s="399"/>
      <c r="E241" s="398"/>
      <c r="F241" s="398"/>
      <c r="G241" s="398"/>
      <c r="H241" s="398"/>
      <c r="I241" s="398"/>
      <c r="J241" s="398"/>
    </row>
    <row r="242" spans="2:10" ht="18.75">
      <c r="B242" s="398"/>
      <c r="C242" s="399"/>
      <c r="D242" s="399"/>
      <c r="E242" s="398"/>
      <c r="F242" s="398"/>
      <c r="G242" s="398"/>
      <c r="H242" s="398"/>
      <c r="I242" s="398"/>
      <c r="J242" s="398"/>
    </row>
    <row r="243" spans="2:10" ht="18.75">
      <c r="B243" s="398"/>
      <c r="C243" s="399"/>
      <c r="D243" s="399"/>
      <c r="E243" s="398"/>
      <c r="F243" s="398"/>
      <c r="G243" s="398"/>
      <c r="H243" s="398"/>
      <c r="I243" s="398"/>
      <c r="J243" s="398"/>
    </row>
    <row r="244" spans="2:10" ht="18.75">
      <c r="B244" s="398"/>
      <c r="C244" s="399"/>
      <c r="D244" s="399"/>
      <c r="E244" s="398"/>
      <c r="F244" s="398"/>
      <c r="G244" s="398"/>
      <c r="H244" s="398"/>
      <c r="I244" s="398"/>
      <c r="J244" s="398"/>
    </row>
    <row r="245" spans="2:10" ht="18.75">
      <c r="B245" s="398"/>
      <c r="C245" s="399"/>
      <c r="D245" s="399"/>
      <c r="E245" s="398"/>
      <c r="F245" s="398"/>
      <c r="G245" s="398"/>
      <c r="H245" s="398"/>
      <c r="I245" s="398"/>
      <c r="J245" s="398"/>
    </row>
    <row r="246" spans="2:10" ht="18.75">
      <c r="B246" s="398"/>
      <c r="C246" s="399"/>
      <c r="D246" s="399"/>
      <c r="E246" s="398"/>
      <c r="F246" s="398"/>
      <c r="G246" s="398"/>
      <c r="H246" s="398"/>
      <c r="I246" s="398"/>
      <c r="J246" s="398"/>
    </row>
    <row r="247" spans="2:10" ht="18.75">
      <c r="B247" s="398"/>
      <c r="C247" s="399"/>
      <c r="D247" s="399"/>
      <c r="E247" s="398"/>
      <c r="F247" s="398"/>
      <c r="G247" s="398"/>
      <c r="H247" s="398"/>
      <c r="I247" s="398"/>
      <c r="J247" s="398"/>
    </row>
    <row r="248" spans="2:10" ht="18.75">
      <c r="B248" s="398"/>
      <c r="C248" s="399"/>
      <c r="D248" s="399"/>
      <c r="E248" s="398"/>
      <c r="F248" s="398"/>
      <c r="G248" s="398"/>
      <c r="H248" s="398"/>
      <c r="I248" s="398"/>
      <c r="J248" s="398"/>
    </row>
  </sheetData>
  <sheetProtection/>
  <mergeCells count="4">
    <mergeCell ref="I1:J1"/>
    <mergeCell ref="B2:J2"/>
    <mergeCell ref="B3:I3"/>
    <mergeCell ref="B4:J4"/>
  </mergeCells>
  <printOptions horizontalCentered="1"/>
  <pageMargins left="0" right="0" top="0" bottom="0" header="0.5118110236220472" footer="0.3937007874015748"/>
  <pageSetup fitToHeight="0" fitToWidth="1" horizontalDpi="600" verticalDpi="600" orientation="landscape" paperSize="9" scale="85" r:id="rId1"/>
  <headerFooter alignWithMargins="0">
    <oddFooter>&amp;R&amp;"Times New Roman,Regular"&amp;12&amp;P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S252"/>
  <sheetViews>
    <sheetView zoomScalePageLayoutView="0" workbookViewId="0" topLeftCell="A7">
      <selection activeCell="E15" sqref="E15"/>
    </sheetView>
  </sheetViews>
  <sheetFormatPr defaultColWidth="9.140625" defaultRowHeight="12.75"/>
  <cols>
    <col min="1" max="1" width="5.00390625" style="351" customWidth="1"/>
    <col min="2" max="2" width="36.28125" style="347" customWidth="1"/>
    <col min="3" max="3" width="15.7109375" style="348" customWidth="1"/>
    <col min="4" max="5" width="15.00390625" style="348" customWidth="1"/>
    <col min="6" max="6" width="14.28125" style="331" customWidth="1"/>
    <col min="7" max="8" width="15.00390625" style="331" customWidth="1"/>
    <col min="9" max="9" width="15.57421875" style="331" customWidth="1"/>
    <col min="10" max="16384" width="9.140625" style="331" customWidth="1"/>
  </cols>
  <sheetData>
    <row r="1" spans="6:9" ht="19.5" customHeight="1">
      <c r="F1" s="353"/>
      <c r="G1" s="365" t="s">
        <v>702</v>
      </c>
      <c r="H1" s="1796" t="s">
        <v>704</v>
      </c>
      <c r="I1" s="1796"/>
    </row>
    <row r="2" spans="2:10" ht="19.5" customHeight="1">
      <c r="B2" s="1854" t="s">
        <v>750</v>
      </c>
      <c r="C2" s="1854"/>
      <c r="D2" s="1854"/>
      <c r="E2" s="1854"/>
      <c r="F2" s="1854"/>
      <c r="G2" s="1854"/>
      <c r="H2" s="1854"/>
      <c r="I2" s="1854"/>
      <c r="J2" s="555"/>
    </row>
    <row r="3" spans="1:10" ht="19.5" customHeight="1">
      <c r="A3" s="1765" t="s">
        <v>751</v>
      </c>
      <c r="B3" s="1765"/>
      <c r="C3" s="1765"/>
      <c r="D3" s="1765"/>
      <c r="E3" s="1765"/>
      <c r="F3" s="1765"/>
      <c r="G3" s="1765"/>
      <c r="H3" s="1765"/>
      <c r="I3" s="1765"/>
      <c r="J3" s="397"/>
    </row>
    <row r="4" spans="1:10" ht="35.25" customHeight="1">
      <c r="A4" s="1765" t="s">
        <v>752</v>
      </c>
      <c r="B4" s="1765"/>
      <c r="C4" s="1765"/>
      <c r="D4" s="1765"/>
      <c r="E4" s="1765"/>
      <c r="F4" s="1765"/>
      <c r="G4" s="1765"/>
      <c r="H4" s="1765"/>
      <c r="I4" s="1765"/>
      <c r="J4" s="397"/>
    </row>
    <row r="5" spans="1:10" ht="24" customHeight="1">
      <c r="A5" s="382"/>
      <c r="B5" s="395"/>
      <c r="C5" s="396"/>
      <c r="D5" s="396"/>
      <c r="E5" s="396"/>
      <c r="F5" s="397"/>
      <c r="G5" s="397"/>
      <c r="H5" s="1855" t="s">
        <v>753</v>
      </c>
      <c r="I5" s="1855"/>
      <c r="J5" s="397"/>
    </row>
    <row r="6" spans="1:10" s="349" customFormat="1" ht="31.5" customHeight="1">
      <c r="A6" s="1852" t="s">
        <v>86</v>
      </c>
      <c r="B6" s="1852" t="s">
        <v>754</v>
      </c>
      <c r="C6" s="1850" t="s">
        <v>755</v>
      </c>
      <c r="D6" s="1851"/>
      <c r="E6" s="1852" t="s">
        <v>695</v>
      </c>
      <c r="F6" s="1852" t="s">
        <v>696</v>
      </c>
      <c r="G6" s="1852" t="s">
        <v>697</v>
      </c>
      <c r="H6" s="1852" t="s">
        <v>698</v>
      </c>
      <c r="I6" s="1852" t="s">
        <v>699</v>
      </c>
      <c r="J6" s="688"/>
    </row>
    <row r="7" spans="1:19" ht="26.25" customHeight="1">
      <c r="A7" s="1853"/>
      <c r="B7" s="1853"/>
      <c r="C7" s="383" t="s">
        <v>756</v>
      </c>
      <c r="D7" s="383" t="s">
        <v>757</v>
      </c>
      <c r="E7" s="1853"/>
      <c r="F7" s="1853"/>
      <c r="G7" s="1853"/>
      <c r="H7" s="1853"/>
      <c r="I7" s="1853"/>
      <c r="J7" s="408"/>
      <c r="K7" s="354"/>
      <c r="M7" s="352"/>
      <c r="N7" s="354"/>
      <c r="P7" s="352"/>
      <c r="Q7" s="354"/>
      <c r="S7" s="352"/>
    </row>
    <row r="8" spans="1:19" ht="36.75" customHeight="1">
      <c r="A8" s="389"/>
      <c r="B8" s="383" t="s">
        <v>137</v>
      </c>
      <c r="C8" s="409"/>
      <c r="D8" s="409"/>
      <c r="E8" s="689"/>
      <c r="F8" s="690"/>
      <c r="G8" s="691"/>
      <c r="H8" s="691"/>
      <c r="I8" s="691"/>
      <c r="J8" s="408"/>
      <c r="K8" s="354"/>
      <c r="M8" s="352"/>
      <c r="N8" s="354"/>
      <c r="P8" s="352"/>
      <c r="Q8" s="354"/>
      <c r="S8" s="352"/>
    </row>
    <row r="9" spans="1:19" s="329" customFormat="1" ht="52.5" customHeight="1">
      <c r="A9" s="386" t="s">
        <v>29</v>
      </c>
      <c r="B9" s="387" t="s">
        <v>790</v>
      </c>
      <c r="C9" s="383"/>
      <c r="D9" s="383"/>
      <c r="E9" s="692"/>
      <c r="F9" s="693"/>
      <c r="G9" s="693"/>
      <c r="H9" s="693"/>
      <c r="I9" s="693"/>
      <c r="J9" s="694"/>
      <c r="K9" s="356"/>
      <c r="M9" s="357"/>
      <c r="N9" s="356"/>
      <c r="P9" s="357"/>
      <c r="Q9" s="356"/>
      <c r="S9" s="357"/>
    </row>
    <row r="10" spans="1:10" ht="30.75" customHeight="1">
      <c r="A10" s="389"/>
      <c r="B10" s="526" t="s">
        <v>791</v>
      </c>
      <c r="C10" s="738">
        <f>SUM(E10:I10)</f>
        <v>750</v>
      </c>
      <c r="D10" s="409"/>
      <c r="E10" s="689">
        <v>300</v>
      </c>
      <c r="F10" s="690">
        <v>200</v>
      </c>
      <c r="G10" s="690">
        <v>250</v>
      </c>
      <c r="H10" s="690"/>
      <c r="I10" s="690"/>
      <c r="J10" s="397"/>
    </row>
    <row r="11" spans="1:10" ht="30.75" customHeight="1">
      <c r="A11" s="389"/>
      <c r="B11" s="526" t="s">
        <v>792</v>
      </c>
      <c r="C11" s="738">
        <f>SUM(E11:I11)</f>
        <v>1000</v>
      </c>
      <c r="D11" s="409"/>
      <c r="E11" s="689">
        <v>200</v>
      </c>
      <c r="F11" s="690">
        <v>200</v>
      </c>
      <c r="G11" s="690">
        <v>200</v>
      </c>
      <c r="H11" s="690">
        <v>200</v>
      </c>
      <c r="I11" s="690">
        <v>200</v>
      </c>
      <c r="J11" s="397"/>
    </row>
    <row r="12" spans="1:10" ht="36.75" customHeight="1">
      <c r="A12" s="389"/>
      <c r="B12" s="526" t="s">
        <v>793</v>
      </c>
      <c r="C12" s="738">
        <f>SUM(E12:I12)</f>
        <v>650</v>
      </c>
      <c r="D12" s="409"/>
      <c r="E12" s="689">
        <v>200</v>
      </c>
      <c r="F12" s="690">
        <v>250</v>
      </c>
      <c r="G12" s="690">
        <v>200</v>
      </c>
      <c r="H12" s="690"/>
      <c r="I12" s="690"/>
      <c r="J12" s="397"/>
    </row>
    <row r="13" spans="1:10" ht="36.75" customHeight="1">
      <c r="A13" s="389"/>
      <c r="B13" s="526"/>
      <c r="C13" s="738"/>
      <c r="D13" s="409"/>
      <c r="E13" s="689"/>
      <c r="F13" s="690"/>
      <c r="G13" s="690"/>
      <c r="H13" s="690"/>
      <c r="I13" s="690"/>
      <c r="J13" s="397"/>
    </row>
    <row r="14" spans="1:10" ht="36.75" customHeight="1">
      <c r="A14" s="389"/>
      <c r="B14" s="526"/>
      <c r="C14" s="738"/>
      <c r="D14" s="409"/>
      <c r="E14" s="689"/>
      <c r="F14" s="690"/>
      <c r="G14" s="690"/>
      <c r="H14" s="690"/>
      <c r="I14" s="690"/>
      <c r="J14" s="397"/>
    </row>
    <row r="15" spans="1:10" ht="36.75" customHeight="1">
      <c r="A15" s="389"/>
      <c r="B15" s="526"/>
      <c r="C15" s="738"/>
      <c r="D15" s="409"/>
      <c r="E15" s="689"/>
      <c r="F15" s="690"/>
      <c r="G15" s="690"/>
      <c r="H15" s="690"/>
      <c r="I15" s="690"/>
      <c r="J15" s="397"/>
    </row>
    <row r="16" spans="1:19" s="329" customFormat="1" ht="77.25" customHeight="1">
      <c r="A16" s="386" t="s">
        <v>30</v>
      </c>
      <c r="B16" s="387" t="s">
        <v>794</v>
      </c>
      <c r="C16" s="383"/>
      <c r="D16" s="383"/>
      <c r="E16" s="692"/>
      <c r="F16" s="693"/>
      <c r="G16" s="693"/>
      <c r="H16" s="693"/>
      <c r="I16" s="693"/>
      <c r="J16" s="694"/>
      <c r="K16" s="356"/>
      <c r="M16" s="357"/>
      <c r="N16" s="356"/>
      <c r="P16" s="357"/>
      <c r="Q16" s="356"/>
      <c r="S16" s="357"/>
    </row>
    <row r="17" spans="1:10" ht="30" customHeight="1">
      <c r="A17" s="389"/>
      <c r="B17" s="410" t="s">
        <v>758</v>
      </c>
      <c r="C17" s="409"/>
      <c r="D17" s="409"/>
      <c r="E17" s="689"/>
      <c r="F17" s="690"/>
      <c r="G17" s="690"/>
      <c r="H17" s="690"/>
      <c r="I17" s="690"/>
      <c r="J17" s="397"/>
    </row>
    <row r="18" spans="1:10" ht="30" customHeight="1">
      <c r="A18" s="389"/>
      <c r="B18" s="410" t="s">
        <v>758</v>
      </c>
      <c r="C18" s="409"/>
      <c r="D18" s="409"/>
      <c r="E18" s="689"/>
      <c r="F18" s="690"/>
      <c r="G18" s="690"/>
      <c r="H18" s="690"/>
      <c r="I18" s="690"/>
      <c r="J18" s="397"/>
    </row>
    <row r="19" spans="1:10" ht="16.5">
      <c r="A19" s="382"/>
      <c r="B19" s="395"/>
      <c r="C19" s="396"/>
      <c r="D19" s="396"/>
      <c r="E19" s="396"/>
      <c r="F19" s="397"/>
      <c r="G19" s="397"/>
      <c r="H19" s="397"/>
      <c r="I19" s="397"/>
      <c r="J19" s="397"/>
    </row>
    <row r="20" spans="1:10" ht="16.5">
      <c r="A20" s="382"/>
      <c r="B20" s="395"/>
      <c r="C20" s="396"/>
      <c r="D20" s="396"/>
      <c r="E20" s="396"/>
      <c r="F20" s="397"/>
      <c r="G20" s="397"/>
      <c r="H20" s="397"/>
      <c r="I20" s="397"/>
      <c r="J20" s="397"/>
    </row>
    <row r="21" spans="1:10" ht="16.5">
      <c r="A21" s="382"/>
      <c r="B21" s="395"/>
      <c r="C21" s="396"/>
      <c r="D21" s="396"/>
      <c r="E21" s="396"/>
      <c r="F21" s="397"/>
      <c r="G21" s="397"/>
      <c r="H21" s="397"/>
      <c r="I21" s="397"/>
      <c r="J21" s="397"/>
    </row>
    <row r="22" spans="1:10" ht="16.5">
      <c r="A22" s="382"/>
      <c r="B22" s="395"/>
      <c r="C22" s="396"/>
      <c r="D22" s="396"/>
      <c r="E22" s="396"/>
      <c r="F22" s="397"/>
      <c r="G22" s="397"/>
      <c r="H22" s="397"/>
      <c r="I22" s="397"/>
      <c r="J22" s="397"/>
    </row>
    <row r="23" spans="1:19" ht="16.5">
      <c r="A23" s="382"/>
      <c r="B23" s="411"/>
      <c r="C23" s="396"/>
      <c r="D23" s="396"/>
      <c r="E23" s="396"/>
      <c r="F23" s="408"/>
      <c r="G23" s="397"/>
      <c r="H23" s="397"/>
      <c r="I23" s="397"/>
      <c r="J23" s="408"/>
      <c r="K23" s="354"/>
      <c r="M23" s="352"/>
      <c r="N23" s="354"/>
      <c r="P23" s="352"/>
      <c r="Q23" s="354"/>
      <c r="S23" s="352"/>
    </row>
    <row r="24" spans="1:17" ht="16.5">
      <c r="A24" s="382"/>
      <c r="B24" s="395"/>
      <c r="C24" s="396"/>
      <c r="D24" s="396"/>
      <c r="E24" s="396"/>
      <c r="F24" s="408"/>
      <c r="G24" s="397"/>
      <c r="H24" s="397"/>
      <c r="I24" s="397"/>
      <c r="J24" s="408"/>
      <c r="K24" s="354"/>
      <c r="M24" s="352"/>
      <c r="N24" s="354"/>
      <c r="P24" s="352"/>
      <c r="Q24" s="354"/>
    </row>
    <row r="25" spans="1:19" ht="16.5">
      <c r="A25" s="382"/>
      <c r="B25" s="411"/>
      <c r="C25" s="396"/>
      <c r="D25" s="396"/>
      <c r="E25" s="396"/>
      <c r="F25" s="408"/>
      <c r="G25" s="397"/>
      <c r="H25" s="397"/>
      <c r="I25" s="397"/>
      <c r="J25" s="408"/>
      <c r="K25" s="354"/>
      <c r="M25" s="352"/>
      <c r="N25" s="354"/>
      <c r="P25" s="352"/>
      <c r="Q25" s="354"/>
      <c r="S25" s="352"/>
    </row>
    <row r="26" spans="1:17" ht="16.5">
      <c r="A26" s="382"/>
      <c r="B26" s="395"/>
      <c r="C26" s="396"/>
      <c r="D26" s="396"/>
      <c r="E26" s="396"/>
      <c r="F26" s="397"/>
      <c r="G26" s="397"/>
      <c r="H26" s="397"/>
      <c r="I26" s="397"/>
      <c r="J26" s="408"/>
      <c r="K26" s="354"/>
      <c r="M26" s="352"/>
      <c r="N26" s="354"/>
      <c r="P26" s="352"/>
      <c r="Q26" s="354"/>
    </row>
    <row r="27" spans="1:19" ht="16.5">
      <c r="A27" s="382"/>
      <c r="B27" s="411"/>
      <c r="C27" s="396"/>
      <c r="D27" s="396"/>
      <c r="E27" s="396"/>
      <c r="F27" s="408"/>
      <c r="G27" s="397"/>
      <c r="H27" s="397"/>
      <c r="I27" s="397"/>
      <c r="J27" s="408"/>
      <c r="K27" s="354"/>
      <c r="M27" s="352"/>
      <c r="N27" s="354"/>
      <c r="P27" s="352"/>
      <c r="Q27" s="354"/>
      <c r="S27" s="352"/>
    </row>
    <row r="28" spans="1:10" ht="16.5">
      <c r="A28" s="382"/>
      <c r="B28" s="395"/>
      <c r="C28" s="396"/>
      <c r="D28" s="396"/>
      <c r="E28" s="396"/>
      <c r="F28" s="397"/>
      <c r="G28" s="397"/>
      <c r="H28" s="397"/>
      <c r="I28" s="397"/>
      <c r="J28" s="397"/>
    </row>
    <row r="29" spans="1:10" ht="16.5">
      <c r="A29" s="382"/>
      <c r="B29" s="395"/>
      <c r="C29" s="396"/>
      <c r="D29" s="396"/>
      <c r="E29" s="396"/>
      <c r="F29" s="397"/>
      <c r="G29" s="397"/>
      <c r="H29" s="397"/>
      <c r="I29" s="397"/>
      <c r="J29" s="397"/>
    </row>
    <row r="30" spans="1:10" ht="16.5">
      <c r="A30" s="382"/>
      <c r="B30" s="395"/>
      <c r="C30" s="396"/>
      <c r="D30" s="396"/>
      <c r="E30" s="396"/>
      <c r="F30" s="397"/>
      <c r="G30" s="397"/>
      <c r="H30" s="397"/>
      <c r="I30" s="397"/>
      <c r="J30" s="397"/>
    </row>
    <row r="31" spans="1:10" ht="16.5">
      <c r="A31" s="382"/>
      <c r="B31" s="395"/>
      <c r="C31" s="396"/>
      <c r="D31" s="396"/>
      <c r="E31" s="396"/>
      <c r="F31" s="397"/>
      <c r="G31" s="397"/>
      <c r="H31" s="397"/>
      <c r="I31" s="397"/>
      <c r="J31" s="397"/>
    </row>
    <row r="32" spans="1:10" ht="16.5">
      <c r="A32" s="382"/>
      <c r="B32" s="395"/>
      <c r="C32" s="396"/>
      <c r="D32" s="396"/>
      <c r="E32" s="396"/>
      <c r="F32" s="397"/>
      <c r="G32" s="397"/>
      <c r="H32" s="397"/>
      <c r="I32" s="397"/>
      <c r="J32" s="397"/>
    </row>
    <row r="33" spans="1:10" ht="16.5">
      <c r="A33" s="382"/>
      <c r="B33" s="395"/>
      <c r="C33" s="396"/>
      <c r="D33" s="396"/>
      <c r="E33" s="396"/>
      <c r="F33" s="397"/>
      <c r="G33" s="397"/>
      <c r="H33" s="397"/>
      <c r="I33" s="397"/>
      <c r="J33" s="397"/>
    </row>
    <row r="34" spans="1:10" ht="16.5">
      <c r="A34" s="382"/>
      <c r="B34" s="395"/>
      <c r="C34" s="396"/>
      <c r="D34" s="396"/>
      <c r="E34" s="396"/>
      <c r="F34" s="397"/>
      <c r="G34" s="397"/>
      <c r="H34" s="397"/>
      <c r="I34" s="397"/>
      <c r="J34" s="397"/>
    </row>
    <row r="35" spans="1:10" ht="16.5">
      <c r="A35" s="382"/>
      <c r="B35" s="395"/>
      <c r="C35" s="396"/>
      <c r="D35" s="396"/>
      <c r="E35" s="396"/>
      <c r="F35" s="397"/>
      <c r="G35" s="397"/>
      <c r="H35" s="397"/>
      <c r="I35" s="397"/>
      <c r="J35" s="397"/>
    </row>
    <row r="36" spans="1:10" ht="16.5">
      <c r="A36" s="382"/>
      <c r="B36" s="395"/>
      <c r="C36" s="396"/>
      <c r="D36" s="396"/>
      <c r="E36" s="396"/>
      <c r="F36" s="397"/>
      <c r="G36" s="397"/>
      <c r="H36" s="397"/>
      <c r="I36" s="397"/>
      <c r="J36" s="397"/>
    </row>
    <row r="37" spans="1:10" ht="16.5">
      <c r="A37" s="382"/>
      <c r="B37" s="395"/>
      <c r="C37" s="396"/>
      <c r="D37" s="396"/>
      <c r="E37" s="396"/>
      <c r="F37" s="397"/>
      <c r="G37" s="397"/>
      <c r="H37" s="397"/>
      <c r="I37" s="397"/>
      <c r="J37" s="397"/>
    </row>
    <row r="38" spans="1:10" ht="12.75" customHeight="1">
      <c r="A38" s="382"/>
      <c r="B38" s="395"/>
      <c r="C38" s="396"/>
      <c r="D38" s="396"/>
      <c r="E38" s="396"/>
      <c r="F38" s="397"/>
      <c r="G38" s="397"/>
      <c r="H38" s="397"/>
      <c r="I38" s="397"/>
      <c r="J38" s="397"/>
    </row>
    <row r="39" spans="1:10" ht="16.5">
      <c r="A39" s="382"/>
      <c r="B39" s="395"/>
      <c r="C39" s="396"/>
      <c r="D39" s="396"/>
      <c r="E39" s="396"/>
      <c r="F39" s="397"/>
      <c r="G39" s="397"/>
      <c r="H39" s="397"/>
      <c r="I39" s="397"/>
      <c r="J39" s="397"/>
    </row>
    <row r="40" spans="1:19" ht="16.5">
      <c r="A40" s="382"/>
      <c r="B40" s="411"/>
      <c r="C40" s="396"/>
      <c r="D40" s="396"/>
      <c r="E40" s="396"/>
      <c r="F40" s="408"/>
      <c r="G40" s="397"/>
      <c r="H40" s="397"/>
      <c r="I40" s="397"/>
      <c r="J40" s="408"/>
      <c r="K40" s="354"/>
      <c r="M40" s="352"/>
      <c r="N40" s="354"/>
      <c r="P40" s="352"/>
      <c r="Q40" s="354"/>
      <c r="S40" s="352"/>
    </row>
    <row r="41" spans="1:10" ht="16.5">
      <c r="A41" s="382"/>
      <c r="B41" s="395"/>
      <c r="C41" s="396"/>
      <c r="D41" s="396"/>
      <c r="E41" s="396"/>
      <c r="F41" s="397"/>
      <c r="G41" s="397"/>
      <c r="H41" s="397"/>
      <c r="I41" s="397"/>
      <c r="J41" s="397"/>
    </row>
    <row r="42" spans="1:10" ht="16.5">
      <c r="A42" s="382"/>
      <c r="B42" s="395"/>
      <c r="C42" s="396"/>
      <c r="D42" s="396"/>
      <c r="E42" s="396"/>
      <c r="F42" s="397"/>
      <c r="G42" s="397"/>
      <c r="H42" s="397"/>
      <c r="I42" s="397"/>
      <c r="J42" s="397"/>
    </row>
    <row r="43" spans="1:10" ht="16.5">
      <c r="A43" s="382"/>
      <c r="B43" s="395"/>
      <c r="C43" s="396"/>
      <c r="D43" s="396"/>
      <c r="E43" s="396"/>
      <c r="F43" s="397"/>
      <c r="G43" s="397"/>
      <c r="H43" s="397"/>
      <c r="I43" s="397"/>
      <c r="J43" s="397"/>
    </row>
    <row r="44" spans="1:10" ht="16.5">
      <c r="A44" s="382"/>
      <c r="B44" s="395"/>
      <c r="C44" s="396"/>
      <c r="D44" s="396"/>
      <c r="E44" s="396"/>
      <c r="F44" s="397"/>
      <c r="G44" s="397"/>
      <c r="H44" s="397"/>
      <c r="I44" s="397"/>
      <c r="J44" s="397"/>
    </row>
    <row r="45" spans="1:10" ht="16.5">
      <c r="A45" s="382"/>
      <c r="B45" s="395"/>
      <c r="C45" s="396"/>
      <c r="D45" s="396"/>
      <c r="E45" s="396"/>
      <c r="F45" s="397"/>
      <c r="G45" s="397"/>
      <c r="H45" s="397"/>
      <c r="I45" s="397"/>
      <c r="J45" s="397"/>
    </row>
    <row r="46" spans="1:10" ht="16.5">
      <c r="A46" s="382"/>
      <c r="B46" s="395"/>
      <c r="C46" s="396"/>
      <c r="D46" s="396"/>
      <c r="E46" s="396"/>
      <c r="F46" s="397"/>
      <c r="G46" s="397"/>
      <c r="H46" s="397"/>
      <c r="I46" s="397"/>
      <c r="J46" s="397"/>
    </row>
    <row r="47" spans="1:10" ht="16.5">
      <c r="A47" s="382"/>
      <c r="B47" s="395"/>
      <c r="C47" s="396"/>
      <c r="D47" s="396"/>
      <c r="E47" s="396"/>
      <c r="F47" s="397"/>
      <c r="G47" s="397"/>
      <c r="H47" s="397"/>
      <c r="I47" s="397"/>
      <c r="J47" s="397"/>
    </row>
    <row r="48" spans="1:10" ht="16.5">
      <c r="A48" s="382"/>
      <c r="B48" s="395"/>
      <c r="C48" s="396"/>
      <c r="D48" s="396"/>
      <c r="E48" s="396"/>
      <c r="F48" s="397"/>
      <c r="G48" s="397"/>
      <c r="H48" s="397"/>
      <c r="I48" s="397"/>
      <c r="J48" s="397"/>
    </row>
    <row r="49" spans="1:10" ht="16.5">
      <c r="A49" s="382"/>
      <c r="B49" s="395"/>
      <c r="C49" s="396"/>
      <c r="D49" s="396"/>
      <c r="E49" s="396"/>
      <c r="F49" s="397"/>
      <c r="G49" s="397"/>
      <c r="H49" s="397"/>
      <c r="I49" s="397"/>
      <c r="J49" s="397"/>
    </row>
    <row r="50" spans="1:10" ht="16.5">
      <c r="A50" s="382"/>
      <c r="B50" s="395"/>
      <c r="C50" s="396"/>
      <c r="D50" s="396"/>
      <c r="E50" s="396"/>
      <c r="F50" s="397"/>
      <c r="G50" s="397"/>
      <c r="H50" s="397"/>
      <c r="I50" s="397"/>
      <c r="J50" s="397"/>
    </row>
    <row r="51" spans="1:10" ht="16.5">
      <c r="A51" s="382"/>
      <c r="B51" s="395"/>
      <c r="C51" s="396"/>
      <c r="D51" s="396"/>
      <c r="E51" s="396"/>
      <c r="F51" s="397"/>
      <c r="G51" s="397"/>
      <c r="H51" s="397"/>
      <c r="I51" s="397"/>
      <c r="J51" s="397"/>
    </row>
    <row r="52" spans="1:10" ht="16.5">
      <c r="A52" s="382"/>
      <c r="B52" s="395"/>
      <c r="C52" s="396"/>
      <c r="D52" s="396"/>
      <c r="E52" s="396"/>
      <c r="F52" s="397"/>
      <c r="G52" s="397"/>
      <c r="H52" s="397"/>
      <c r="I52" s="397"/>
      <c r="J52" s="397"/>
    </row>
    <row r="53" spans="1:10" ht="16.5">
      <c r="A53" s="382"/>
      <c r="B53" s="395"/>
      <c r="C53" s="396"/>
      <c r="D53" s="396"/>
      <c r="E53" s="396"/>
      <c r="F53" s="397"/>
      <c r="G53" s="397"/>
      <c r="H53" s="397"/>
      <c r="I53" s="397"/>
      <c r="J53" s="397"/>
    </row>
    <row r="54" spans="1:10" ht="16.5">
      <c r="A54" s="382"/>
      <c r="B54" s="395"/>
      <c r="C54" s="396"/>
      <c r="D54" s="396"/>
      <c r="E54" s="396"/>
      <c r="F54" s="397"/>
      <c r="G54" s="397"/>
      <c r="H54" s="397"/>
      <c r="I54" s="397"/>
      <c r="J54" s="397"/>
    </row>
    <row r="55" spans="1:10" ht="16.5">
      <c r="A55" s="382"/>
      <c r="B55" s="395"/>
      <c r="C55" s="396"/>
      <c r="D55" s="396"/>
      <c r="E55" s="396"/>
      <c r="F55" s="397"/>
      <c r="G55" s="397"/>
      <c r="H55" s="397"/>
      <c r="I55" s="397"/>
      <c r="J55" s="397"/>
    </row>
    <row r="56" spans="1:10" ht="16.5">
      <c r="A56" s="382"/>
      <c r="B56" s="395"/>
      <c r="C56" s="396"/>
      <c r="D56" s="396"/>
      <c r="E56" s="396"/>
      <c r="F56" s="397"/>
      <c r="G56" s="397"/>
      <c r="H56" s="397"/>
      <c r="I56" s="397"/>
      <c r="J56" s="397"/>
    </row>
    <row r="57" spans="1:10" ht="16.5">
      <c r="A57" s="382"/>
      <c r="B57" s="395"/>
      <c r="C57" s="396"/>
      <c r="D57" s="396"/>
      <c r="E57" s="396"/>
      <c r="F57" s="397"/>
      <c r="G57" s="397"/>
      <c r="H57" s="397"/>
      <c r="I57" s="397"/>
      <c r="J57" s="397"/>
    </row>
    <row r="58" spans="1:10" ht="16.5">
      <c r="A58" s="382"/>
      <c r="B58" s="395"/>
      <c r="C58" s="396"/>
      <c r="D58" s="396"/>
      <c r="E58" s="396"/>
      <c r="F58" s="397"/>
      <c r="G58" s="397"/>
      <c r="H58" s="397"/>
      <c r="I58" s="397"/>
      <c r="J58" s="397"/>
    </row>
    <row r="59" spans="1:10" ht="16.5">
      <c r="A59" s="382"/>
      <c r="B59" s="395"/>
      <c r="C59" s="396"/>
      <c r="D59" s="396"/>
      <c r="E59" s="396"/>
      <c r="F59" s="397"/>
      <c r="G59" s="397"/>
      <c r="H59" s="397"/>
      <c r="I59" s="397"/>
      <c r="J59" s="397"/>
    </row>
    <row r="60" spans="1:10" ht="16.5">
      <c r="A60" s="382"/>
      <c r="B60" s="395"/>
      <c r="C60" s="396"/>
      <c r="D60" s="396"/>
      <c r="E60" s="396"/>
      <c r="F60" s="397"/>
      <c r="G60" s="397"/>
      <c r="H60" s="397"/>
      <c r="I60" s="397"/>
      <c r="J60" s="397"/>
    </row>
    <row r="61" spans="1:10" ht="16.5">
      <c r="A61" s="382"/>
      <c r="B61" s="395"/>
      <c r="C61" s="396"/>
      <c r="D61" s="396"/>
      <c r="E61" s="396"/>
      <c r="F61" s="397"/>
      <c r="G61" s="397"/>
      <c r="H61" s="397"/>
      <c r="I61" s="397"/>
      <c r="J61" s="397"/>
    </row>
    <row r="62" spans="1:10" ht="16.5">
      <c r="A62" s="382"/>
      <c r="B62" s="395"/>
      <c r="C62" s="396"/>
      <c r="D62" s="396"/>
      <c r="E62" s="396"/>
      <c r="F62" s="397"/>
      <c r="G62" s="397"/>
      <c r="H62" s="397"/>
      <c r="I62" s="397"/>
      <c r="J62" s="397"/>
    </row>
    <row r="63" spans="1:10" ht="16.5">
      <c r="A63" s="382"/>
      <c r="B63" s="395"/>
      <c r="C63" s="396"/>
      <c r="D63" s="396"/>
      <c r="E63" s="396"/>
      <c r="F63" s="397"/>
      <c r="G63" s="397"/>
      <c r="H63" s="397"/>
      <c r="I63" s="397"/>
      <c r="J63" s="397"/>
    </row>
    <row r="64" spans="1:10" ht="16.5">
      <c r="A64" s="382"/>
      <c r="B64" s="395"/>
      <c r="C64" s="396"/>
      <c r="D64" s="396"/>
      <c r="E64" s="396"/>
      <c r="F64" s="397"/>
      <c r="G64" s="397"/>
      <c r="H64" s="397"/>
      <c r="I64" s="397"/>
      <c r="J64" s="397"/>
    </row>
    <row r="65" spans="1:10" ht="16.5">
      <c r="A65" s="382"/>
      <c r="B65" s="395"/>
      <c r="C65" s="396"/>
      <c r="D65" s="396"/>
      <c r="E65" s="396"/>
      <c r="F65" s="397"/>
      <c r="G65" s="397"/>
      <c r="H65" s="397"/>
      <c r="I65" s="397"/>
      <c r="J65" s="397"/>
    </row>
    <row r="66" spans="1:10" ht="16.5">
      <c r="A66" s="382"/>
      <c r="B66" s="395"/>
      <c r="C66" s="396"/>
      <c r="D66" s="396"/>
      <c r="E66" s="396"/>
      <c r="F66" s="397"/>
      <c r="G66" s="397"/>
      <c r="H66" s="397"/>
      <c r="I66" s="397"/>
      <c r="J66" s="397"/>
    </row>
    <row r="67" spans="1:10" ht="16.5">
      <c r="A67" s="382"/>
      <c r="B67" s="395"/>
      <c r="C67" s="396"/>
      <c r="D67" s="396"/>
      <c r="E67" s="396"/>
      <c r="F67" s="397"/>
      <c r="G67" s="397"/>
      <c r="H67" s="397"/>
      <c r="I67" s="397"/>
      <c r="J67" s="397"/>
    </row>
    <row r="68" spans="1:10" ht="16.5">
      <c r="A68" s="382"/>
      <c r="B68" s="395"/>
      <c r="C68" s="396"/>
      <c r="D68" s="396"/>
      <c r="E68" s="396"/>
      <c r="F68" s="397"/>
      <c r="G68" s="397"/>
      <c r="H68" s="397"/>
      <c r="I68" s="397"/>
      <c r="J68" s="397"/>
    </row>
    <row r="69" spans="1:10" ht="16.5">
      <c r="A69" s="382"/>
      <c r="B69" s="395"/>
      <c r="C69" s="396"/>
      <c r="D69" s="396"/>
      <c r="E69" s="396"/>
      <c r="F69" s="397"/>
      <c r="G69" s="397"/>
      <c r="H69" s="397"/>
      <c r="I69" s="397"/>
      <c r="J69" s="397"/>
    </row>
    <row r="70" spans="1:10" ht="16.5">
      <c r="A70" s="382"/>
      <c r="B70" s="395"/>
      <c r="C70" s="396"/>
      <c r="D70" s="396"/>
      <c r="E70" s="396"/>
      <c r="F70" s="397"/>
      <c r="G70" s="397"/>
      <c r="H70" s="397"/>
      <c r="I70" s="397"/>
      <c r="J70" s="397"/>
    </row>
    <row r="71" spans="1:10" ht="16.5">
      <c r="A71" s="382"/>
      <c r="B71" s="395"/>
      <c r="C71" s="396"/>
      <c r="D71" s="396"/>
      <c r="E71" s="396"/>
      <c r="F71" s="397"/>
      <c r="G71" s="397"/>
      <c r="H71" s="397"/>
      <c r="I71" s="397"/>
      <c r="J71" s="397"/>
    </row>
    <row r="72" spans="1:10" ht="16.5">
      <c r="A72" s="382"/>
      <c r="B72" s="395"/>
      <c r="C72" s="396"/>
      <c r="D72" s="396"/>
      <c r="E72" s="396"/>
      <c r="F72" s="397"/>
      <c r="G72" s="397"/>
      <c r="H72" s="397"/>
      <c r="I72" s="397"/>
      <c r="J72" s="397"/>
    </row>
    <row r="73" spans="1:10" ht="16.5">
      <c r="A73" s="382"/>
      <c r="B73" s="395"/>
      <c r="C73" s="396"/>
      <c r="D73" s="396"/>
      <c r="E73" s="396"/>
      <c r="F73" s="397"/>
      <c r="G73" s="397"/>
      <c r="H73" s="397"/>
      <c r="I73" s="397"/>
      <c r="J73" s="397"/>
    </row>
    <row r="74" spans="1:10" ht="16.5">
      <c r="A74" s="382"/>
      <c r="B74" s="395"/>
      <c r="C74" s="396"/>
      <c r="D74" s="396"/>
      <c r="E74" s="396"/>
      <c r="F74" s="397"/>
      <c r="G74" s="397"/>
      <c r="H74" s="397"/>
      <c r="I74" s="397"/>
      <c r="J74" s="397"/>
    </row>
    <row r="75" spans="1:10" ht="16.5">
      <c r="A75" s="382"/>
      <c r="B75" s="395"/>
      <c r="C75" s="396"/>
      <c r="D75" s="396"/>
      <c r="E75" s="396"/>
      <c r="F75" s="397"/>
      <c r="G75" s="397"/>
      <c r="H75" s="397"/>
      <c r="I75" s="397"/>
      <c r="J75" s="397"/>
    </row>
    <row r="76" spans="1:10" ht="16.5">
      <c r="A76" s="382"/>
      <c r="B76" s="395"/>
      <c r="C76" s="396"/>
      <c r="D76" s="396"/>
      <c r="E76" s="396"/>
      <c r="F76" s="397"/>
      <c r="G76" s="397"/>
      <c r="H76" s="397"/>
      <c r="I76" s="397"/>
      <c r="J76" s="397"/>
    </row>
    <row r="77" spans="1:10" ht="16.5">
      <c r="A77" s="382"/>
      <c r="B77" s="395"/>
      <c r="C77" s="396"/>
      <c r="D77" s="396"/>
      <c r="E77" s="396"/>
      <c r="F77" s="397"/>
      <c r="G77" s="397"/>
      <c r="H77" s="397"/>
      <c r="I77" s="397"/>
      <c r="J77" s="397"/>
    </row>
    <row r="78" spans="1:10" ht="16.5">
      <c r="A78" s="382"/>
      <c r="B78" s="395"/>
      <c r="C78" s="396"/>
      <c r="D78" s="396"/>
      <c r="E78" s="396"/>
      <c r="F78" s="397"/>
      <c r="G78" s="397"/>
      <c r="H78" s="397"/>
      <c r="I78" s="397"/>
      <c r="J78" s="397"/>
    </row>
    <row r="79" spans="1:10" ht="16.5">
      <c r="A79" s="382"/>
      <c r="B79" s="395"/>
      <c r="C79" s="396"/>
      <c r="D79" s="396"/>
      <c r="E79" s="396"/>
      <c r="F79" s="397"/>
      <c r="G79" s="397"/>
      <c r="H79" s="397"/>
      <c r="I79" s="397"/>
      <c r="J79" s="397"/>
    </row>
    <row r="80" spans="1:10" ht="16.5">
      <c r="A80" s="382"/>
      <c r="B80" s="395"/>
      <c r="C80" s="396"/>
      <c r="D80" s="396"/>
      <c r="E80" s="396"/>
      <c r="F80" s="397"/>
      <c r="G80" s="397"/>
      <c r="H80" s="397"/>
      <c r="I80" s="397"/>
      <c r="J80" s="397"/>
    </row>
    <row r="81" spans="1:10" ht="16.5">
      <c r="A81" s="382"/>
      <c r="B81" s="395"/>
      <c r="C81" s="396"/>
      <c r="D81" s="396"/>
      <c r="E81" s="396"/>
      <c r="F81" s="397"/>
      <c r="G81" s="397"/>
      <c r="H81" s="397"/>
      <c r="I81" s="397"/>
      <c r="J81" s="397"/>
    </row>
    <row r="82" spans="1:10" ht="16.5">
      <c r="A82" s="382"/>
      <c r="B82" s="395"/>
      <c r="C82" s="396"/>
      <c r="D82" s="396"/>
      <c r="E82" s="396"/>
      <c r="F82" s="397"/>
      <c r="G82" s="397"/>
      <c r="H82" s="397"/>
      <c r="I82" s="397"/>
      <c r="J82" s="397"/>
    </row>
    <row r="83" spans="1:10" ht="16.5">
      <c r="A83" s="382"/>
      <c r="B83" s="395"/>
      <c r="C83" s="396"/>
      <c r="D83" s="396"/>
      <c r="E83" s="396"/>
      <c r="F83" s="397"/>
      <c r="G83" s="397"/>
      <c r="H83" s="397"/>
      <c r="I83" s="397"/>
      <c r="J83" s="397"/>
    </row>
    <row r="84" spans="1:10" ht="16.5">
      <c r="A84" s="382"/>
      <c r="B84" s="395"/>
      <c r="C84" s="396"/>
      <c r="D84" s="396"/>
      <c r="E84" s="396"/>
      <c r="F84" s="397"/>
      <c r="G84" s="397"/>
      <c r="H84" s="397"/>
      <c r="I84" s="397"/>
      <c r="J84" s="397"/>
    </row>
    <row r="85" spans="1:10" ht="16.5">
      <c r="A85" s="382"/>
      <c r="B85" s="395"/>
      <c r="C85" s="396"/>
      <c r="D85" s="396"/>
      <c r="E85" s="396"/>
      <c r="F85" s="397"/>
      <c r="G85" s="397"/>
      <c r="H85" s="397"/>
      <c r="I85" s="397"/>
      <c r="J85" s="397"/>
    </row>
    <row r="86" spans="1:10" ht="16.5">
      <c r="A86" s="382"/>
      <c r="B86" s="395"/>
      <c r="C86" s="396"/>
      <c r="D86" s="396"/>
      <c r="E86" s="396"/>
      <c r="F86" s="397"/>
      <c r="G86" s="397"/>
      <c r="H86" s="397"/>
      <c r="I86" s="397"/>
      <c r="J86" s="397"/>
    </row>
    <row r="87" spans="1:10" ht="16.5">
      <c r="A87" s="382"/>
      <c r="B87" s="395"/>
      <c r="C87" s="396"/>
      <c r="D87" s="396"/>
      <c r="E87" s="396"/>
      <c r="F87" s="397"/>
      <c r="G87" s="397"/>
      <c r="H87" s="397"/>
      <c r="I87" s="397"/>
      <c r="J87" s="397"/>
    </row>
    <row r="88" spans="1:10" ht="16.5">
      <c r="A88" s="382"/>
      <c r="B88" s="395"/>
      <c r="C88" s="396"/>
      <c r="D88" s="396"/>
      <c r="E88" s="396"/>
      <c r="F88" s="397"/>
      <c r="G88" s="397"/>
      <c r="H88" s="397"/>
      <c r="I88" s="397"/>
      <c r="J88" s="397"/>
    </row>
    <row r="89" spans="1:10" ht="16.5">
      <c r="A89" s="382"/>
      <c r="B89" s="395"/>
      <c r="C89" s="396"/>
      <c r="D89" s="396"/>
      <c r="E89" s="396"/>
      <c r="F89" s="397"/>
      <c r="G89" s="397"/>
      <c r="H89" s="397"/>
      <c r="I89" s="397"/>
      <c r="J89" s="397"/>
    </row>
    <row r="90" spans="1:10" ht="16.5">
      <c r="A90" s="382"/>
      <c r="B90" s="395"/>
      <c r="C90" s="396"/>
      <c r="D90" s="396"/>
      <c r="E90" s="396"/>
      <c r="F90" s="397"/>
      <c r="G90" s="397"/>
      <c r="H90" s="397"/>
      <c r="I90" s="397"/>
      <c r="J90" s="397"/>
    </row>
    <row r="91" spans="1:10" ht="16.5">
      <c r="A91" s="382"/>
      <c r="B91" s="395"/>
      <c r="C91" s="396"/>
      <c r="D91" s="396"/>
      <c r="E91" s="396"/>
      <c r="F91" s="397"/>
      <c r="G91" s="397"/>
      <c r="H91" s="397"/>
      <c r="I91" s="397"/>
      <c r="J91" s="397"/>
    </row>
    <row r="92" spans="1:10" ht="16.5">
      <c r="A92" s="382"/>
      <c r="B92" s="395"/>
      <c r="C92" s="396"/>
      <c r="D92" s="396"/>
      <c r="E92" s="396"/>
      <c r="F92" s="397"/>
      <c r="G92" s="397"/>
      <c r="H92" s="397"/>
      <c r="I92" s="397"/>
      <c r="J92" s="397"/>
    </row>
    <row r="93" spans="1:10" ht="16.5">
      <c r="A93" s="382"/>
      <c r="B93" s="395"/>
      <c r="C93" s="396"/>
      <c r="D93" s="396"/>
      <c r="E93" s="396"/>
      <c r="F93" s="397"/>
      <c r="G93" s="397"/>
      <c r="H93" s="397"/>
      <c r="I93" s="397"/>
      <c r="J93" s="397"/>
    </row>
    <row r="94" spans="1:10" ht="16.5">
      <c r="A94" s="382"/>
      <c r="B94" s="395"/>
      <c r="C94" s="396"/>
      <c r="D94" s="396"/>
      <c r="E94" s="396"/>
      <c r="F94" s="397"/>
      <c r="G94" s="397"/>
      <c r="H94" s="397"/>
      <c r="I94" s="397"/>
      <c r="J94" s="397"/>
    </row>
    <row r="95" spans="1:10" ht="16.5">
      <c r="A95" s="382"/>
      <c r="B95" s="395"/>
      <c r="C95" s="396"/>
      <c r="D95" s="396"/>
      <c r="E95" s="396"/>
      <c r="F95" s="397"/>
      <c r="G95" s="397"/>
      <c r="H95" s="397"/>
      <c r="I95" s="397"/>
      <c r="J95" s="397"/>
    </row>
    <row r="96" spans="1:10" ht="16.5">
      <c r="A96" s="382"/>
      <c r="B96" s="395"/>
      <c r="C96" s="396"/>
      <c r="D96" s="396"/>
      <c r="E96" s="396"/>
      <c r="F96" s="397"/>
      <c r="G96" s="397"/>
      <c r="H96" s="397"/>
      <c r="I96" s="397"/>
      <c r="J96" s="397"/>
    </row>
    <row r="97" spans="1:10" ht="16.5">
      <c r="A97" s="382"/>
      <c r="B97" s="395"/>
      <c r="C97" s="396"/>
      <c r="D97" s="396"/>
      <c r="E97" s="396"/>
      <c r="F97" s="397"/>
      <c r="G97" s="397"/>
      <c r="H97" s="397"/>
      <c r="I97" s="397"/>
      <c r="J97" s="397"/>
    </row>
    <row r="98" spans="1:10" ht="16.5">
      <c r="A98" s="382"/>
      <c r="B98" s="395"/>
      <c r="C98" s="396"/>
      <c r="D98" s="396"/>
      <c r="E98" s="396"/>
      <c r="F98" s="397"/>
      <c r="G98" s="397"/>
      <c r="H98" s="397"/>
      <c r="I98" s="397"/>
      <c r="J98" s="397"/>
    </row>
    <row r="99" spans="1:10" ht="16.5">
      <c r="A99" s="382"/>
      <c r="B99" s="395"/>
      <c r="C99" s="396"/>
      <c r="D99" s="396"/>
      <c r="E99" s="396"/>
      <c r="F99" s="397"/>
      <c r="G99" s="397"/>
      <c r="H99" s="397"/>
      <c r="I99" s="397"/>
      <c r="J99" s="397"/>
    </row>
    <row r="100" spans="1:10" ht="16.5">
      <c r="A100" s="382"/>
      <c r="B100" s="395"/>
      <c r="C100" s="396"/>
      <c r="D100" s="396"/>
      <c r="E100" s="396"/>
      <c r="F100" s="397"/>
      <c r="G100" s="397"/>
      <c r="H100" s="397"/>
      <c r="I100" s="397"/>
      <c r="J100" s="397"/>
    </row>
    <row r="101" spans="1:10" ht="16.5">
      <c r="A101" s="382"/>
      <c r="B101" s="395"/>
      <c r="C101" s="396"/>
      <c r="D101" s="396"/>
      <c r="E101" s="396"/>
      <c r="F101" s="397"/>
      <c r="G101" s="397"/>
      <c r="H101" s="397"/>
      <c r="I101" s="397"/>
      <c r="J101" s="397"/>
    </row>
    <row r="102" spans="1:10" ht="16.5">
      <c r="A102" s="382"/>
      <c r="B102" s="395"/>
      <c r="C102" s="396"/>
      <c r="D102" s="396"/>
      <c r="E102" s="396"/>
      <c r="F102" s="397"/>
      <c r="G102" s="397"/>
      <c r="H102" s="397"/>
      <c r="I102" s="397"/>
      <c r="J102" s="397"/>
    </row>
    <row r="103" spans="1:10" ht="16.5">
      <c r="A103" s="382"/>
      <c r="B103" s="395"/>
      <c r="C103" s="396"/>
      <c r="D103" s="396"/>
      <c r="E103" s="396"/>
      <c r="F103" s="397"/>
      <c r="G103" s="397"/>
      <c r="H103" s="397"/>
      <c r="I103" s="397"/>
      <c r="J103" s="397"/>
    </row>
    <row r="104" spans="1:10" ht="16.5">
      <c r="A104" s="382"/>
      <c r="B104" s="395"/>
      <c r="C104" s="396"/>
      <c r="D104" s="396"/>
      <c r="E104" s="396"/>
      <c r="F104" s="397"/>
      <c r="G104" s="397"/>
      <c r="H104" s="397"/>
      <c r="I104" s="397"/>
      <c r="J104" s="397"/>
    </row>
    <row r="105" spans="1:10" ht="16.5">
      <c r="A105" s="382"/>
      <c r="B105" s="395"/>
      <c r="C105" s="396"/>
      <c r="D105" s="396"/>
      <c r="E105" s="396"/>
      <c r="F105" s="397"/>
      <c r="G105" s="397"/>
      <c r="H105" s="397"/>
      <c r="I105" s="397"/>
      <c r="J105" s="397"/>
    </row>
    <row r="106" spans="1:10" ht="16.5">
      <c r="A106" s="382"/>
      <c r="B106" s="395"/>
      <c r="C106" s="396"/>
      <c r="D106" s="396"/>
      <c r="E106" s="396"/>
      <c r="F106" s="397"/>
      <c r="G106" s="397"/>
      <c r="H106" s="397"/>
      <c r="I106" s="397"/>
      <c r="J106" s="397"/>
    </row>
    <row r="107" spans="1:10" ht="16.5">
      <c r="A107" s="382"/>
      <c r="B107" s="395"/>
      <c r="C107" s="396"/>
      <c r="D107" s="396"/>
      <c r="E107" s="396"/>
      <c r="F107" s="397"/>
      <c r="G107" s="397"/>
      <c r="H107" s="397"/>
      <c r="I107" s="397"/>
      <c r="J107" s="397"/>
    </row>
    <row r="108" spans="1:10" ht="16.5">
      <c r="A108" s="382"/>
      <c r="B108" s="395"/>
      <c r="C108" s="396"/>
      <c r="D108" s="396"/>
      <c r="E108" s="396"/>
      <c r="F108" s="397"/>
      <c r="G108" s="397"/>
      <c r="H108" s="397"/>
      <c r="I108" s="397"/>
      <c r="J108" s="397"/>
    </row>
    <row r="109" spans="1:10" ht="16.5">
      <c r="A109" s="382"/>
      <c r="B109" s="395"/>
      <c r="C109" s="396"/>
      <c r="D109" s="396"/>
      <c r="E109" s="396"/>
      <c r="F109" s="397"/>
      <c r="G109" s="397"/>
      <c r="H109" s="397"/>
      <c r="I109" s="397"/>
      <c r="J109" s="397"/>
    </row>
    <row r="110" spans="1:10" ht="16.5">
      <c r="A110" s="382"/>
      <c r="B110" s="395"/>
      <c r="C110" s="396"/>
      <c r="D110" s="396"/>
      <c r="E110" s="396"/>
      <c r="F110" s="397"/>
      <c r="G110" s="397"/>
      <c r="H110" s="397"/>
      <c r="I110" s="397"/>
      <c r="J110" s="397"/>
    </row>
    <row r="111" spans="1:10" ht="16.5">
      <c r="A111" s="382"/>
      <c r="B111" s="395"/>
      <c r="C111" s="396"/>
      <c r="D111" s="396"/>
      <c r="E111" s="396"/>
      <c r="F111" s="397"/>
      <c r="G111" s="397"/>
      <c r="H111" s="397"/>
      <c r="I111" s="397"/>
      <c r="J111" s="397"/>
    </row>
    <row r="112" spans="1:10" ht="16.5">
      <c r="A112" s="382"/>
      <c r="B112" s="395"/>
      <c r="C112" s="396"/>
      <c r="D112" s="396"/>
      <c r="E112" s="396"/>
      <c r="F112" s="397"/>
      <c r="G112" s="397"/>
      <c r="H112" s="397"/>
      <c r="I112" s="397"/>
      <c r="J112" s="397"/>
    </row>
    <row r="113" spans="1:10" ht="16.5">
      <c r="A113" s="382"/>
      <c r="B113" s="395"/>
      <c r="C113" s="396"/>
      <c r="D113" s="396"/>
      <c r="E113" s="396"/>
      <c r="F113" s="397"/>
      <c r="G113" s="397"/>
      <c r="H113" s="397"/>
      <c r="I113" s="397"/>
      <c r="J113" s="397"/>
    </row>
    <row r="114" spans="1:10" ht="16.5">
      <c r="A114" s="382"/>
      <c r="B114" s="395"/>
      <c r="C114" s="396"/>
      <c r="D114" s="396"/>
      <c r="E114" s="396"/>
      <c r="F114" s="397"/>
      <c r="G114" s="397"/>
      <c r="H114" s="397"/>
      <c r="I114" s="397"/>
      <c r="J114" s="397"/>
    </row>
    <row r="115" spans="1:10" ht="16.5">
      <c r="A115" s="382"/>
      <c r="B115" s="395"/>
      <c r="C115" s="396"/>
      <c r="D115" s="396"/>
      <c r="E115" s="396"/>
      <c r="F115" s="397"/>
      <c r="G115" s="397"/>
      <c r="H115" s="397"/>
      <c r="I115" s="397"/>
      <c r="J115" s="397"/>
    </row>
    <row r="116" spans="1:10" ht="16.5">
      <c r="A116" s="382"/>
      <c r="B116" s="395"/>
      <c r="C116" s="396"/>
      <c r="D116" s="396"/>
      <c r="E116" s="396"/>
      <c r="F116" s="397"/>
      <c r="G116" s="397"/>
      <c r="H116" s="397"/>
      <c r="I116" s="397"/>
      <c r="J116" s="397"/>
    </row>
    <row r="117" spans="1:10" ht="16.5">
      <c r="A117" s="382"/>
      <c r="B117" s="395"/>
      <c r="C117" s="396"/>
      <c r="D117" s="396"/>
      <c r="E117" s="396"/>
      <c r="F117" s="397"/>
      <c r="G117" s="397"/>
      <c r="H117" s="397"/>
      <c r="I117" s="397"/>
      <c r="J117" s="397"/>
    </row>
    <row r="118" spans="1:10" ht="16.5">
      <c r="A118" s="382"/>
      <c r="B118" s="395"/>
      <c r="C118" s="396"/>
      <c r="D118" s="396"/>
      <c r="E118" s="396"/>
      <c r="F118" s="397"/>
      <c r="G118" s="397"/>
      <c r="H118" s="397"/>
      <c r="I118" s="397"/>
      <c r="J118" s="397"/>
    </row>
    <row r="119" spans="1:10" ht="16.5">
      <c r="A119" s="382"/>
      <c r="B119" s="395"/>
      <c r="C119" s="396"/>
      <c r="D119" s="396"/>
      <c r="E119" s="396"/>
      <c r="F119" s="397"/>
      <c r="G119" s="397"/>
      <c r="H119" s="397"/>
      <c r="I119" s="397"/>
      <c r="J119" s="397"/>
    </row>
    <row r="120" spans="1:10" ht="16.5">
      <c r="A120" s="382"/>
      <c r="B120" s="395"/>
      <c r="C120" s="396"/>
      <c r="D120" s="396"/>
      <c r="E120" s="396"/>
      <c r="F120" s="397"/>
      <c r="G120" s="397"/>
      <c r="H120" s="397"/>
      <c r="I120" s="397"/>
      <c r="J120" s="397"/>
    </row>
    <row r="121" spans="1:10" ht="16.5">
      <c r="A121" s="382"/>
      <c r="B121" s="395"/>
      <c r="C121" s="396"/>
      <c r="D121" s="396"/>
      <c r="E121" s="396"/>
      <c r="F121" s="397"/>
      <c r="G121" s="397"/>
      <c r="H121" s="397"/>
      <c r="I121" s="397"/>
      <c r="J121" s="397"/>
    </row>
    <row r="122" spans="1:10" ht="16.5">
      <c r="A122" s="382"/>
      <c r="B122" s="395"/>
      <c r="C122" s="396"/>
      <c r="D122" s="396"/>
      <c r="E122" s="396"/>
      <c r="F122" s="397"/>
      <c r="G122" s="397"/>
      <c r="H122" s="397"/>
      <c r="I122" s="397"/>
      <c r="J122" s="397"/>
    </row>
    <row r="123" spans="1:10" ht="16.5">
      <c r="A123" s="382"/>
      <c r="B123" s="395"/>
      <c r="C123" s="396"/>
      <c r="D123" s="396"/>
      <c r="E123" s="396"/>
      <c r="F123" s="397"/>
      <c r="G123" s="397"/>
      <c r="H123" s="397"/>
      <c r="I123" s="397"/>
      <c r="J123" s="397"/>
    </row>
    <row r="124" spans="1:10" ht="16.5">
      <c r="A124" s="382"/>
      <c r="B124" s="395"/>
      <c r="C124" s="396"/>
      <c r="D124" s="396"/>
      <c r="E124" s="396"/>
      <c r="F124" s="397"/>
      <c r="G124" s="397"/>
      <c r="H124" s="397"/>
      <c r="I124" s="397"/>
      <c r="J124" s="397"/>
    </row>
    <row r="125" spans="1:10" ht="16.5">
      <c r="A125" s="382"/>
      <c r="B125" s="395"/>
      <c r="C125" s="396"/>
      <c r="D125" s="396"/>
      <c r="E125" s="396"/>
      <c r="F125" s="397"/>
      <c r="G125" s="397"/>
      <c r="H125" s="397"/>
      <c r="I125" s="397"/>
      <c r="J125" s="397"/>
    </row>
    <row r="126" spans="1:10" ht="16.5">
      <c r="A126" s="382"/>
      <c r="B126" s="395"/>
      <c r="C126" s="396"/>
      <c r="D126" s="396"/>
      <c r="E126" s="396"/>
      <c r="F126" s="397"/>
      <c r="G126" s="397"/>
      <c r="H126" s="397"/>
      <c r="I126" s="397"/>
      <c r="J126" s="397"/>
    </row>
    <row r="127" spans="1:10" ht="16.5">
      <c r="A127" s="382"/>
      <c r="B127" s="395"/>
      <c r="C127" s="396"/>
      <c r="D127" s="396"/>
      <c r="E127" s="396"/>
      <c r="F127" s="397"/>
      <c r="G127" s="397"/>
      <c r="H127" s="397"/>
      <c r="I127" s="397"/>
      <c r="J127" s="397"/>
    </row>
    <row r="128" spans="1:10" ht="16.5">
      <c r="A128" s="382"/>
      <c r="B128" s="395"/>
      <c r="C128" s="396"/>
      <c r="D128" s="396"/>
      <c r="E128" s="396"/>
      <c r="F128" s="397"/>
      <c r="G128" s="397"/>
      <c r="H128" s="397"/>
      <c r="I128" s="397"/>
      <c r="J128" s="397"/>
    </row>
    <row r="129" spans="1:10" ht="16.5">
      <c r="A129" s="382"/>
      <c r="B129" s="395"/>
      <c r="C129" s="396"/>
      <c r="D129" s="396"/>
      <c r="E129" s="396"/>
      <c r="F129" s="397"/>
      <c r="G129" s="397"/>
      <c r="H129" s="397"/>
      <c r="I129" s="397"/>
      <c r="J129" s="397"/>
    </row>
    <row r="130" spans="1:10" ht="16.5">
      <c r="A130" s="382"/>
      <c r="B130" s="395"/>
      <c r="C130" s="396"/>
      <c r="D130" s="396"/>
      <c r="E130" s="396"/>
      <c r="F130" s="397"/>
      <c r="G130" s="397"/>
      <c r="H130" s="397"/>
      <c r="I130" s="397"/>
      <c r="J130" s="397"/>
    </row>
    <row r="131" spans="1:10" ht="16.5">
      <c r="A131" s="382"/>
      <c r="B131" s="395"/>
      <c r="C131" s="396"/>
      <c r="D131" s="396"/>
      <c r="E131" s="396"/>
      <c r="F131" s="397"/>
      <c r="G131" s="397"/>
      <c r="H131" s="397"/>
      <c r="I131" s="397"/>
      <c r="J131" s="397"/>
    </row>
    <row r="132" spans="1:10" ht="16.5">
      <c r="A132" s="382"/>
      <c r="B132" s="395"/>
      <c r="C132" s="396"/>
      <c r="D132" s="396"/>
      <c r="E132" s="396"/>
      <c r="F132" s="397"/>
      <c r="G132" s="397"/>
      <c r="H132" s="397"/>
      <c r="I132" s="397"/>
      <c r="J132" s="397"/>
    </row>
    <row r="133" spans="1:10" ht="16.5">
      <c r="A133" s="382"/>
      <c r="B133" s="395"/>
      <c r="C133" s="396"/>
      <c r="D133" s="396"/>
      <c r="E133" s="396"/>
      <c r="F133" s="397"/>
      <c r="G133" s="397"/>
      <c r="H133" s="397"/>
      <c r="I133" s="397"/>
      <c r="J133" s="397"/>
    </row>
    <row r="134" spans="1:10" ht="16.5">
      <c r="A134" s="382"/>
      <c r="B134" s="395"/>
      <c r="C134" s="396"/>
      <c r="D134" s="396"/>
      <c r="E134" s="396"/>
      <c r="F134" s="397"/>
      <c r="G134" s="397"/>
      <c r="H134" s="397"/>
      <c r="I134" s="397"/>
      <c r="J134" s="397"/>
    </row>
    <row r="135" spans="1:10" ht="16.5">
      <c r="A135" s="382"/>
      <c r="B135" s="395"/>
      <c r="C135" s="396"/>
      <c r="D135" s="396"/>
      <c r="E135" s="396"/>
      <c r="F135" s="397"/>
      <c r="G135" s="397"/>
      <c r="H135" s="397"/>
      <c r="I135" s="397"/>
      <c r="J135" s="397"/>
    </row>
    <row r="136" spans="1:10" ht="16.5">
      <c r="A136" s="382"/>
      <c r="B136" s="395"/>
      <c r="C136" s="396"/>
      <c r="D136" s="396"/>
      <c r="E136" s="396"/>
      <c r="F136" s="397"/>
      <c r="G136" s="397"/>
      <c r="H136" s="397"/>
      <c r="I136" s="397"/>
      <c r="J136" s="397"/>
    </row>
    <row r="137" spans="1:10" ht="16.5">
      <c r="A137" s="382"/>
      <c r="B137" s="395"/>
      <c r="C137" s="396"/>
      <c r="D137" s="396"/>
      <c r="E137" s="396"/>
      <c r="F137" s="397"/>
      <c r="G137" s="397"/>
      <c r="H137" s="397"/>
      <c r="I137" s="397"/>
      <c r="J137" s="397"/>
    </row>
    <row r="138" spans="1:10" ht="16.5">
      <c r="A138" s="382"/>
      <c r="B138" s="395"/>
      <c r="C138" s="396"/>
      <c r="D138" s="396"/>
      <c r="E138" s="396"/>
      <c r="F138" s="397"/>
      <c r="G138" s="397"/>
      <c r="H138" s="397"/>
      <c r="I138" s="397"/>
      <c r="J138" s="397"/>
    </row>
    <row r="139" spans="1:10" ht="16.5">
      <c r="A139" s="382"/>
      <c r="B139" s="395"/>
      <c r="C139" s="396"/>
      <c r="D139" s="396"/>
      <c r="E139" s="396"/>
      <c r="F139" s="397"/>
      <c r="G139" s="397"/>
      <c r="H139" s="397"/>
      <c r="I139" s="397"/>
      <c r="J139" s="397"/>
    </row>
    <row r="140" spans="1:10" ht="16.5">
      <c r="A140" s="382"/>
      <c r="B140" s="395"/>
      <c r="C140" s="396"/>
      <c r="D140" s="396"/>
      <c r="E140" s="396"/>
      <c r="F140" s="397"/>
      <c r="G140" s="397"/>
      <c r="H140" s="397"/>
      <c r="I140" s="397"/>
      <c r="J140" s="397"/>
    </row>
    <row r="141" spans="1:10" ht="16.5">
      <c r="A141" s="382"/>
      <c r="B141" s="395"/>
      <c r="C141" s="396"/>
      <c r="D141" s="396"/>
      <c r="E141" s="396"/>
      <c r="F141" s="397"/>
      <c r="G141" s="397"/>
      <c r="H141" s="397"/>
      <c r="I141" s="397"/>
      <c r="J141" s="397"/>
    </row>
    <row r="142" spans="1:10" ht="16.5">
      <c r="A142" s="382"/>
      <c r="B142" s="395"/>
      <c r="C142" s="396"/>
      <c r="D142" s="396"/>
      <c r="E142" s="396"/>
      <c r="F142" s="397"/>
      <c r="G142" s="397"/>
      <c r="H142" s="397"/>
      <c r="I142" s="397"/>
      <c r="J142" s="397"/>
    </row>
    <row r="143" spans="1:10" ht="16.5">
      <c r="A143" s="382"/>
      <c r="B143" s="395"/>
      <c r="C143" s="396"/>
      <c r="D143" s="396"/>
      <c r="E143" s="396"/>
      <c r="F143" s="397"/>
      <c r="G143" s="397"/>
      <c r="H143" s="397"/>
      <c r="I143" s="397"/>
      <c r="J143" s="397"/>
    </row>
    <row r="144" spans="1:10" ht="16.5">
      <c r="A144" s="382"/>
      <c r="B144" s="395"/>
      <c r="C144" s="396"/>
      <c r="D144" s="396"/>
      <c r="E144" s="396"/>
      <c r="F144" s="397"/>
      <c r="G144" s="397"/>
      <c r="H144" s="397"/>
      <c r="I144" s="397"/>
      <c r="J144" s="397"/>
    </row>
    <row r="145" spans="1:10" ht="16.5">
      <c r="A145" s="382"/>
      <c r="B145" s="395"/>
      <c r="C145" s="396"/>
      <c r="D145" s="396"/>
      <c r="E145" s="396"/>
      <c r="F145" s="397"/>
      <c r="G145" s="397"/>
      <c r="H145" s="397"/>
      <c r="I145" s="397"/>
      <c r="J145" s="397"/>
    </row>
    <row r="146" spans="1:10" ht="16.5">
      <c r="A146" s="382"/>
      <c r="B146" s="395"/>
      <c r="C146" s="396"/>
      <c r="D146" s="396"/>
      <c r="E146" s="396"/>
      <c r="F146" s="397"/>
      <c r="G146" s="397"/>
      <c r="H146" s="397"/>
      <c r="I146" s="397"/>
      <c r="J146" s="397"/>
    </row>
    <row r="147" spans="1:10" ht="16.5">
      <c r="A147" s="382"/>
      <c r="B147" s="395"/>
      <c r="C147" s="396"/>
      <c r="D147" s="396"/>
      <c r="E147" s="396"/>
      <c r="F147" s="397"/>
      <c r="G147" s="397"/>
      <c r="H147" s="397"/>
      <c r="I147" s="397"/>
      <c r="J147" s="397"/>
    </row>
    <row r="148" spans="1:10" ht="16.5">
      <c r="A148" s="382"/>
      <c r="B148" s="395"/>
      <c r="C148" s="396"/>
      <c r="D148" s="396"/>
      <c r="E148" s="396"/>
      <c r="F148" s="397"/>
      <c r="G148" s="397"/>
      <c r="H148" s="397"/>
      <c r="I148" s="397"/>
      <c r="J148" s="397"/>
    </row>
    <row r="149" spans="1:10" ht="16.5">
      <c r="A149" s="382"/>
      <c r="B149" s="395"/>
      <c r="C149" s="396"/>
      <c r="D149" s="396"/>
      <c r="E149" s="396"/>
      <c r="F149" s="397"/>
      <c r="G149" s="397"/>
      <c r="H149" s="397"/>
      <c r="I149" s="397"/>
      <c r="J149" s="397"/>
    </row>
    <row r="150" spans="1:10" ht="16.5">
      <c r="A150" s="382"/>
      <c r="B150" s="395"/>
      <c r="C150" s="396"/>
      <c r="D150" s="396"/>
      <c r="E150" s="396"/>
      <c r="F150" s="397"/>
      <c r="G150" s="397"/>
      <c r="H150" s="397"/>
      <c r="I150" s="397"/>
      <c r="J150" s="397"/>
    </row>
    <row r="151" spans="1:10" ht="16.5">
      <c r="A151" s="382"/>
      <c r="B151" s="395"/>
      <c r="C151" s="396"/>
      <c r="D151" s="396"/>
      <c r="E151" s="396"/>
      <c r="F151" s="397"/>
      <c r="G151" s="397"/>
      <c r="H151" s="397"/>
      <c r="I151" s="397"/>
      <c r="J151" s="397"/>
    </row>
    <row r="152" spans="1:10" ht="16.5">
      <c r="A152" s="382"/>
      <c r="B152" s="395"/>
      <c r="C152" s="396"/>
      <c r="D152" s="396"/>
      <c r="E152" s="396"/>
      <c r="F152" s="397"/>
      <c r="G152" s="397"/>
      <c r="H152" s="397"/>
      <c r="I152" s="397"/>
      <c r="J152" s="397"/>
    </row>
    <row r="153" spans="1:10" ht="16.5">
      <c r="A153" s="382"/>
      <c r="B153" s="395"/>
      <c r="C153" s="396"/>
      <c r="D153" s="396"/>
      <c r="E153" s="396"/>
      <c r="F153" s="397"/>
      <c r="G153" s="397"/>
      <c r="H153" s="397"/>
      <c r="I153" s="397"/>
      <c r="J153" s="397"/>
    </row>
    <row r="154" spans="1:10" ht="16.5">
      <c r="A154" s="382"/>
      <c r="B154" s="395"/>
      <c r="C154" s="396"/>
      <c r="D154" s="396"/>
      <c r="E154" s="396"/>
      <c r="F154" s="397"/>
      <c r="G154" s="397"/>
      <c r="H154" s="397"/>
      <c r="I154" s="397"/>
      <c r="J154" s="397"/>
    </row>
    <row r="155" spans="1:10" ht="16.5">
      <c r="A155" s="382"/>
      <c r="B155" s="395"/>
      <c r="C155" s="396"/>
      <c r="D155" s="396"/>
      <c r="E155" s="396"/>
      <c r="F155" s="397"/>
      <c r="G155" s="397"/>
      <c r="H155" s="397"/>
      <c r="I155" s="397"/>
      <c r="J155" s="397"/>
    </row>
    <row r="156" spans="1:10" ht="16.5">
      <c r="A156" s="382"/>
      <c r="B156" s="395"/>
      <c r="C156" s="396"/>
      <c r="D156" s="396"/>
      <c r="E156" s="396"/>
      <c r="F156" s="397"/>
      <c r="G156" s="397"/>
      <c r="H156" s="397"/>
      <c r="I156" s="397"/>
      <c r="J156" s="397"/>
    </row>
    <row r="157" spans="1:10" ht="16.5">
      <c r="A157" s="382"/>
      <c r="B157" s="395"/>
      <c r="C157" s="396"/>
      <c r="D157" s="396"/>
      <c r="E157" s="396"/>
      <c r="F157" s="397"/>
      <c r="G157" s="397"/>
      <c r="H157" s="397"/>
      <c r="I157" s="397"/>
      <c r="J157" s="397"/>
    </row>
    <row r="158" spans="1:10" ht="16.5">
      <c r="A158" s="382"/>
      <c r="B158" s="395"/>
      <c r="C158" s="396"/>
      <c r="D158" s="396"/>
      <c r="E158" s="396"/>
      <c r="F158" s="397"/>
      <c r="G158" s="397"/>
      <c r="H158" s="397"/>
      <c r="I158" s="397"/>
      <c r="J158" s="397"/>
    </row>
    <row r="159" spans="1:10" ht="16.5">
      <c r="A159" s="382"/>
      <c r="B159" s="395"/>
      <c r="C159" s="396"/>
      <c r="D159" s="396"/>
      <c r="E159" s="396"/>
      <c r="F159" s="397"/>
      <c r="G159" s="397"/>
      <c r="H159" s="397"/>
      <c r="I159" s="397"/>
      <c r="J159" s="397"/>
    </row>
    <row r="160" spans="1:10" ht="16.5">
      <c r="A160" s="382"/>
      <c r="B160" s="395"/>
      <c r="C160" s="396"/>
      <c r="D160" s="396"/>
      <c r="E160" s="396"/>
      <c r="F160" s="397"/>
      <c r="G160" s="397"/>
      <c r="H160" s="397"/>
      <c r="I160" s="397"/>
      <c r="J160" s="397"/>
    </row>
    <row r="161" spans="1:10" ht="16.5">
      <c r="A161" s="382"/>
      <c r="B161" s="395"/>
      <c r="C161" s="396"/>
      <c r="D161" s="396"/>
      <c r="E161" s="396"/>
      <c r="F161" s="397"/>
      <c r="G161" s="397"/>
      <c r="H161" s="397"/>
      <c r="I161" s="397"/>
      <c r="J161" s="397"/>
    </row>
    <row r="162" spans="1:10" ht="16.5">
      <c r="A162" s="382"/>
      <c r="B162" s="395"/>
      <c r="C162" s="396"/>
      <c r="D162" s="396"/>
      <c r="E162" s="396"/>
      <c r="F162" s="397"/>
      <c r="G162" s="397"/>
      <c r="H162" s="397"/>
      <c r="I162" s="397"/>
      <c r="J162" s="397"/>
    </row>
    <row r="163" spans="1:10" ht="16.5">
      <c r="A163" s="382"/>
      <c r="B163" s="395"/>
      <c r="C163" s="396"/>
      <c r="D163" s="396"/>
      <c r="E163" s="396"/>
      <c r="F163" s="397"/>
      <c r="G163" s="397"/>
      <c r="H163" s="397"/>
      <c r="I163" s="397"/>
      <c r="J163" s="397"/>
    </row>
    <row r="164" spans="1:10" ht="16.5">
      <c r="A164" s="382"/>
      <c r="B164" s="395"/>
      <c r="C164" s="396"/>
      <c r="D164" s="396"/>
      <c r="E164" s="396"/>
      <c r="F164" s="397"/>
      <c r="G164" s="397"/>
      <c r="H164" s="397"/>
      <c r="I164" s="397"/>
      <c r="J164" s="397"/>
    </row>
    <row r="165" spans="1:10" ht="16.5">
      <c r="A165" s="382"/>
      <c r="B165" s="395"/>
      <c r="C165" s="396"/>
      <c r="D165" s="396"/>
      <c r="E165" s="396"/>
      <c r="F165" s="397"/>
      <c r="G165" s="397"/>
      <c r="H165" s="397"/>
      <c r="I165" s="397"/>
      <c r="J165" s="397"/>
    </row>
    <row r="166" spans="1:10" ht="16.5">
      <c r="A166" s="382"/>
      <c r="B166" s="395"/>
      <c r="C166" s="396"/>
      <c r="D166" s="396"/>
      <c r="E166" s="396"/>
      <c r="F166" s="397"/>
      <c r="G166" s="397"/>
      <c r="H166" s="397"/>
      <c r="I166" s="397"/>
      <c r="J166" s="397"/>
    </row>
    <row r="167" spans="1:10" ht="16.5">
      <c r="A167" s="382"/>
      <c r="B167" s="395"/>
      <c r="C167" s="396"/>
      <c r="D167" s="396"/>
      <c r="E167" s="396"/>
      <c r="F167" s="397"/>
      <c r="G167" s="397"/>
      <c r="H167" s="397"/>
      <c r="I167" s="397"/>
      <c r="J167" s="397"/>
    </row>
    <row r="168" spans="1:10" ht="16.5">
      <c r="A168" s="382"/>
      <c r="B168" s="395"/>
      <c r="C168" s="396"/>
      <c r="D168" s="396"/>
      <c r="E168" s="396"/>
      <c r="F168" s="397"/>
      <c r="G168" s="397"/>
      <c r="H168" s="397"/>
      <c r="I168" s="397"/>
      <c r="J168" s="397"/>
    </row>
    <row r="169" spans="1:10" ht="16.5">
      <c r="A169" s="382"/>
      <c r="B169" s="395"/>
      <c r="C169" s="396"/>
      <c r="D169" s="396"/>
      <c r="E169" s="396"/>
      <c r="F169" s="397"/>
      <c r="G169" s="397"/>
      <c r="H169" s="397"/>
      <c r="I169" s="397"/>
      <c r="J169" s="397"/>
    </row>
    <row r="170" spans="1:10" ht="16.5">
      <c r="A170" s="382"/>
      <c r="B170" s="395"/>
      <c r="C170" s="396"/>
      <c r="D170" s="396"/>
      <c r="E170" s="396"/>
      <c r="F170" s="397"/>
      <c r="G170" s="397"/>
      <c r="H170" s="397"/>
      <c r="I170" s="397"/>
      <c r="J170" s="397"/>
    </row>
    <row r="171" spans="1:10" ht="16.5">
      <c r="A171" s="382"/>
      <c r="B171" s="395"/>
      <c r="C171" s="396"/>
      <c r="D171" s="396"/>
      <c r="E171" s="396"/>
      <c r="F171" s="397"/>
      <c r="G171" s="397"/>
      <c r="H171" s="397"/>
      <c r="I171" s="397"/>
      <c r="J171" s="397"/>
    </row>
    <row r="172" spans="1:10" ht="16.5">
      <c r="A172" s="382"/>
      <c r="B172" s="395"/>
      <c r="C172" s="396"/>
      <c r="D172" s="396"/>
      <c r="E172" s="396"/>
      <c r="F172" s="397"/>
      <c r="G172" s="397"/>
      <c r="H172" s="397"/>
      <c r="I172" s="397"/>
      <c r="J172" s="397"/>
    </row>
    <row r="173" spans="1:10" ht="16.5">
      <c r="A173" s="382"/>
      <c r="B173" s="395"/>
      <c r="C173" s="396"/>
      <c r="D173" s="396"/>
      <c r="E173" s="396"/>
      <c r="F173" s="397"/>
      <c r="G173" s="397"/>
      <c r="H173" s="397"/>
      <c r="I173" s="397"/>
      <c r="J173" s="397"/>
    </row>
    <row r="174" spans="1:10" ht="16.5">
      <c r="A174" s="382"/>
      <c r="B174" s="395"/>
      <c r="C174" s="396"/>
      <c r="D174" s="396"/>
      <c r="E174" s="396"/>
      <c r="F174" s="397"/>
      <c r="G174" s="397"/>
      <c r="H174" s="397"/>
      <c r="I174" s="397"/>
      <c r="J174" s="397"/>
    </row>
    <row r="175" spans="1:10" ht="16.5">
      <c r="A175" s="382"/>
      <c r="B175" s="395"/>
      <c r="C175" s="396"/>
      <c r="D175" s="396"/>
      <c r="E175" s="396"/>
      <c r="F175" s="397"/>
      <c r="G175" s="397"/>
      <c r="H175" s="397"/>
      <c r="I175" s="397"/>
      <c r="J175" s="397"/>
    </row>
    <row r="176" spans="1:10" ht="16.5">
      <c r="A176" s="382"/>
      <c r="B176" s="395"/>
      <c r="C176" s="396"/>
      <c r="D176" s="396"/>
      <c r="E176" s="396"/>
      <c r="F176" s="397"/>
      <c r="G176" s="397"/>
      <c r="H176" s="397"/>
      <c r="I176" s="397"/>
      <c r="J176" s="397"/>
    </row>
    <row r="177" spans="1:10" ht="16.5">
      <c r="A177" s="382"/>
      <c r="B177" s="395"/>
      <c r="C177" s="396"/>
      <c r="D177" s="396"/>
      <c r="E177" s="396"/>
      <c r="F177" s="397"/>
      <c r="G177" s="397"/>
      <c r="H177" s="397"/>
      <c r="I177" s="397"/>
      <c r="J177" s="397"/>
    </row>
    <row r="178" spans="1:10" ht="16.5">
      <c r="A178" s="382"/>
      <c r="B178" s="395"/>
      <c r="C178" s="396"/>
      <c r="D178" s="396"/>
      <c r="E178" s="396"/>
      <c r="F178" s="397"/>
      <c r="G178" s="397"/>
      <c r="H178" s="397"/>
      <c r="I178" s="397"/>
      <c r="J178" s="397"/>
    </row>
    <row r="179" spans="1:10" ht="16.5">
      <c r="A179" s="382"/>
      <c r="B179" s="395"/>
      <c r="C179" s="396"/>
      <c r="D179" s="396"/>
      <c r="E179" s="396"/>
      <c r="F179" s="397"/>
      <c r="G179" s="397"/>
      <c r="H179" s="397"/>
      <c r="I179" s="397"/>
      <c r="J179" s="397"/>
    </row>
    <row r="180" spans="1:10" ht="16.5">
      <c r="A180" s="382"/>
      <c r="B180" s="395"/>
      <c r="C180" s="396"/>
      <c r="D180" s="396"/>
      <c r="E180" s="396"/>
      <c r="F180" s="397"/>
      <c r="G180" s="397"/>
      <c r="H180" s="397"/>
      <c r="I180" s="397"/>
      <c r="J180" s="397"/>
    </row>
    <row r="181" spans="1:10" ht="16.5">
      <c r="A181" s="382"/>
      <c r="B181" s="395"/>
      <c r="C181" s="396"/>
      <c r="D181" s="396"/>
      <c r="E181" s="396"/>
      <c r="F181" s="397"/>
      <c r="G181" s="397"/>
      <c r="H181" s="397"/>
      <c r="I181" s="397"/>
      <c r="J181" s="397"/>
    </row>
    <row r="182" spans="1:10" ht="16.5">
      <c r="A182" s="382"/>
      <c r="B182" s="395"/>
      <c r="C182" s="396"/>
      <c r="D182" s="396"/>
      <c r="E182" s="396"/>
      <c r="F182" s="397"/>
      <c r="G182" s="397"/>
      <c r="H182" s="397"/>
      <c r="I182" s="397"/>
      <c r="J182" s="397"/>
    </row>
    <row r="183" spans="1:10" ht="16.5">
      <c r="A183" s="382"/>
      <c r="B183" s="395"/>
      <c r="C183" s="396"/>
      <c r="D183" s="396"/>
      <c r="E183" s="396"/>
      <c r="F183" s="397"/>
      <c r="G183" s="397"/>
      <c r="H183" s="397"/>
      <c r="I183" s="397"/>
      <c r="J183" s="397"/>
    </row>
    <row r="184" spans="1:10" ht="16.5">
      <c r="A184" s="382"/>
      <c r="B184" s="395"/>
      <c r="C184" s="396"/>
      <c r="D184" s="396"/>
      <c r="E184" s="396"/>
      <c r="F184" s="397"/>
      <c r="G184" s="397"/>
      <c r="H184" s="397"/>
      <c r="I184" s="397"/>
      <c r="J184" s="397"/>
    </row>
    <row r="185" spans="1:10" ht="16.5">
      <c r="A185" s="382"/>
      <c r="B185" s="395"/>
      <c r="C185" s="396"/>
      <c r="D185" s="396"/>
      <c r="E185" s="396"/>
      <c r="F185" s="397"/>
      <c r="G185" s="397"/>
      <c r="H185" s="397"/>
      <c r="I185" s="397"/>
      <c r="J185" s="397"/>
    </row>
    <row r="186" spans="1:10" ht="16.5">
      <c r="A186" s="382"/>
      <c r="B186" s="395"/>
      <c r="C186" s="396"/>
      <c r="D186" s="396"/>
      <c r="E186" s="396"/>
      <c r="F186" s="397"/>
      <c r="G186" s="397"/>
      <c r="H186" s="397"/>
      <c r="I186" s="397"/>
      <c r="J186" s="397"/>
    </row>
    <row r="187" spans="1:10" ht="16.5">
      <c r="A187" s="382"/>
      <c r="B187" s="395"/>
      <c r="C187" s="396"/>
      <c r="D187" s="396"/>
      <c r="E187" s="396"/>
      <c r="F187" s="397"/>
      <c r="G187" s="397"/>
      <c r="H187" s="397"/>
      <c r="I187" s="397"/>
      <c r="J187" s="397"/>
    </row>
    <row r="188" spans="1:10" ht="16.5">
      <c r="A188" s="382"/>
      <c r="B188" s="395"/>
      <c r="C188" s="396"/>
      <c r="D188" s="396"/>
      <c r="E188" s="396"/>
      <c r="F188" s="397"/>
      <c r="G188" s="397"/>
      <c r="H188" s="397"/>
      <c r="I188" s="397"/>
      <c r="J188" s="397"/>
    </row>
    <row r="189" spans="1:10" ht="16.5">
      <c r="A189" s="382"/>
      <c r="B189" s="395"/>
      <c r="C189" s="396"/>
      <c r="D189" s="396"/>
      <c r="E189" s="396"/>
      <c r="F189" s="397"/>
      <c r="G189" s="397"/>
      <c r="H189" s="397"/>
      <c r="I189" s="397"/>
      <c r="J189" s="397"/>
    </row>
    <row r="190" spans="1:10" ht="16.5">
      <c r="A190" s="382"/>
      <c r="B190" s="395"/>
      <c r="C190" s="396"/>
      <c r="D190" s="396"/>
      <c r="E190" s="396"/>
      <c r="F190" s="397"/>
      <c r="G190" s="397"/>
      <c r="H190" s="397"/>
      <c r="I190" s="397"/>
      <c r="J190" s="397"/>
    </row>
    <row r="191" spans="1:10" ht="16.5">
      <c r="A191" s="382"/>
      <c r="B191" s="395"/>
      <c r="C191" s="396"/>
      <c r="D191" s="396"/>
      <c r="E191" s="396"/>
      <c r="F191" s="397"/>
      <c r="G191" s="397"/>
      <c r="H191" s="397"/>
      <c r="I191" s="397"/>
      <c r="J191" s="397"/>
    </row>
    <row r="192" spans="1:10" ht="16.5">
      <c r="A192" s="382"/>
      <c r="B192" s="395"/>
      <c r="C192" s="396"/>
      <c r="D192" s="396"/>
      <c r="E192" s="396"/>
      <c r="F192" s="397"/>
      <c r="G192" s="397"/>
      <c r="H192" s="397"/>
      <c r="I192" s="397"/>
      <c r="J192" s="397"/>
    </row>
    <row r="193" spans="1:10" ht="16.5">
      <c r="A193" s="382"/>
      <c r="B193" s="395"/>
      <c r="C193" s="396"/>
      <c r="D193" s="396"/>
      <c r="E193" s="396"/>
      <c r="F193" s="397"/>
      <c r="G193" s="397"/>
      <c r="H193" s="397"/>
      <c r="I193" s="397"/>
      <c r="J193" s="397"/>
    </row>
    <row r="194" spans="1:10" ht="16.5">
      <c r="A194" s="382"/>
      <c r="B194" s="395"/>
      <c r="C194" s="396"/>
      <c r="D194" s="396"/>
      <c r="E194" s="396"/>
      <c r="F194" s="397"/>
      <c r="G194" s="397"/>
      <c r="H194" s="397"/>
      <c r="I194" s="397"/>
      <c r="J194" s="397"/>
    </row>
    <row r="195" spans="1:10" ht="16.5">
      <c r="A195" s="382"/>
      <c r="B195" s="395"/>
      <c r="C195" s="396"/>
      <c r="D195" s="396"/>
      <c r="E195" s="396"/>
      <c r="F195" s="397"/>
      <c r="G195" s="397"/>
      <c r="H195" s="397"/>
      <c r="I195" s="397"/>
      <c r="J195" s="397"/>
    </row>
    <row r="196" spans="1:10" ht="16.5">
      <c r="A196" s="382"/>
      <c r="B196" s="395"/>
      <c r="C196" s="396"/>
      <c r="D196" s="396"/>
      <c r="E196" s="396"/>
      <c r="F196" s="397"/>
      <c r="G196" s="397"/>
      <c r="H196" s="397"/>
      <c r="I196" s="397"/>
      <c r="J196" s="397"/>
    </row>
    <row r="197" spans="1:10" ht="16.5">
      <c r="A197" s="382"/>
      <c r="B197" s="395"/>
      <c r="C197" s="396"/>
      <c r="D197" s="396"/>
      <c r="E197" s="396"/>
      <c r="F197" s="397"/>
      <c r="G197" s="397"/>
      <c r="H197" s="397"/>
      <c r="I197" s="397"/>
      <c r="J197" s="397"/>
    </row>
    <row r="198" spans="1:10" ht="16.5">
      <c r="A198" s="382"/>
      <c r="B198" s="395"/>
      <c r="C198" s="396"/>
      <c r="D198" s="396"/>
      <c r="E198" s="396"/>
      <c r="F198" s="397"/>
      <c r="G198" s="397"/>
      <c r="H198" s="397"/>
      <c r="I198" s="397"/>
      <c r="J198" s="397"/>
    </row>
    <row r="199" spans="1:10" ht="16.5">
      <c r="A199" s="382"/>
      <c r="B199" s="395"/>
      <c r="C199" s="396"/>
      <c r="D199" s="396"/>
      <c r="E199" s="396"/>
      <c r="F199" s="397"/>
      <c r="G199" s="397"/>
      <c r="H199" s="397"/>
      <c r="I199" s="397"/>
      <c r="J199" s="397"/>
    </row>
    <row r="200" spans="1:10" ht="16.5">
      <c r="A200" s="382"/>
      <c r="B200" s="395"/>
      <c r="C200" s="396"/>
      <c r="D200" s="396"/>
      <c r="E200" s="396"/>
      <c r="F200" s="397"/>
      <c r="G200" s="397"/>
      <c r="H200" s="397"/>
      <c r="I200" s="397"/>
      <c r="J200" s="397"/>
    </row>
    <row r="201" spans="1:10" ht="16.5">
      <c r="A201" s="382"/>
      <c r="B201" s="395"/>
      <c r="C201" s="396"/>
      <c r="D201" s="396"/>
      <c r="E201" s="396"/>
      <c r="F201" s="397"/>
      <c r="G201" s="397"/>
      <c r="H201" s="397"/>
      <c r="I201" s="397"/>
      <c r="J201" s="397"/>
    </row>
    <row r="202" spans="1:10" ht="16.5">
      <c r="A202" s="382"/>
      <c r="B202" s="395"/>
      <c r="C202" s="396"/>
      <c r="D202" s="396"/>
      <c r="E202" s="396"/>
      <c r="F202" s="397"/>
      <c r="G202" s="397"/>
      <c r="H202" s="397"/>
      <c r="I202" s="397"/>
      <c r="J202" s="397"/>
    </row>
    <row r="203" spans="1:10" ht="16.5">
      <c r="A203" s="382"/>
      <c r="B203" s="395"/>
      <c r="C203" s="396"/>
      <c r="D203" s="396"/>
      <c r="E203" s="396"/>
      <c r="F203" s="397"/>
      <c r="G203" s="397"/>
      <c r="H203" s="397"/>
      <c r="I203" s="397"/>
      <c r="J203" s="397"/>
    </row>
    <row r="204" spans="1:10" ht="16.5">
      <c r="A204" s="382"/>
      <c r="B204" s="395"/>
      <c r="C204" s="396"/>
      <c r="D204" s="396"/>
      <c r="E204" s="396"/>
      <c r="F204" s="397"/>
      <c r="G204" s="397"/>
      <c r="H204" s="397"/>
      <c r="I204" s="397"/>
      <c r="J204" s="397"/>
    </row>
    <row r="205" spans="1:10" ht="16.5">
      <c r="A205" s="382"/>
      <c r="B205" s="395"/>
      <c r="C205" s="396"/>
      <c r="D205" s="396"/>
      <c r="E205" s="396"/>
      <c r="F205" s="397"/>
      <c r="G205" s="397"/>
      <c r="H205" s="397"/>
      <c r="I205" s="397"/>
      <c r="J205" s="397"/>
    </row>
    <row r="206" spans="1:10" ht="16.5">
      <c r="A206" s="382"/>
      <c r="B206" s="395"/>
      <c r="C206" s="396"/>
      <c r="D206" s="396"/>
      <c r="E206" s="396"/>
      <c r="F206" s="397"/>
      <c r="G206" s="397"/>
      <c r="H206" s="397"/>
      <c r="I206" s="397"/>
      <c r="J206" s="397"/>
    </row>
    <row r="207" spans="1:10" ht="16.5">
      <c r="A207" s="382"/>
      <c r="B207" s="395"/>
      <c r="C207" s="396"/>
      <c r="D207" s="396"/>
      <c r="E207" s="396"/>
      <c r="F207" s="397"/>
      <c r="G207" s="397"/>
      <c r="H207" s="397"/>
      <c r="I207" s="397"/>
      <c r="J207" s="397"/>
    </row>
    <row r="208" spans="1:10" ht="16.5">
      <c r="A208" s="382"/>
      <c r="B208" s="395"/>
      <c r="C208" s="396"/>
      <c r="D208" s="396"/>
      <c r="E208" s="396"/>
      <c r="F208" s="397"/>
      <c r="G208" s="397"/>
      <c r="H208" s="397"/>
      <c r="I208" s="397"/>
      <c r="J208" s="397"/>
    </row>
    <row r="209" spans="1:10" ht="16.5">
      <c r="A209" s="382"/>
      <c r="B209" s="395"/>
      <c r="C209" s="396"/>
      <c r="D209" s="396"/>
      <c r="E209" s="396"/>
      <c r="F209" s="397"/>
      <c r="G209" s="397"/>
      <c r="H209" s="397"/>
      <c r="I209" s="397"/>
      <c r="J209" s="397"/>
    </row>
    <row r="210" spans="1:10" ht="16.5">
      <c r="A210" s="382"/>
      <c r="B210" s="395"/>
      <c r="C210" s="396"/>
      <c r="D210" s="396"/>
      <c r="E210" s="396"/>
      <c r="F210" s="397"/>
      <c r="G210" s="397"/>
      <c r="H210" s="397"/>
      <c r="I210" s="397"/>
      <c r="J210" s="397"/>
    </row>
    <row r="211" spans="1:10" ht="16.5">
      <c r="A211" s="382"/>
      <c r="B211" s="395"/>
      <c r="C211" s="396"/>
      <c r="D211" s="396"/>
      <c r="E211" s="396"/>
      <c r="F211" s="397"/>
      <c r="G211" s="397"/>
      <c r="H211" s="397"/>
      <c r="I211" s="397"/>
      <c r="J211" s="397"/>
    </row>
    <row r="212" spans="1:10" ht="16.5">
      <c r="A212" s="382"/>
      <c r="B212" s="395"/>
      <c r="C212" s="396"/>
      <c r="D212" s="396"/>
      <c r="E212" s="396"/>
      <c r="F212" s="397"/>
      <c r="G212" s="397"/>
      <c r="H212" s="397"/>
      <c r="I212" s="397"/>
      <c r="J212" s="397"/>
    </row>
    <row r="213" spans="1:10" ht="16.5">
      <c r="A213" s="382"/>
      <c r="B213" s="395"/>
      <c r="C213" s="396"/>
      <c r="D213" s="396"/>
      <c r="E213" s="396"/>
      <c r="F213" s="397"/>
      <c r="G213" s="397"/>
      <c r="H213" s="397"/>
      <c r="I213" s="397"/>
      <c r="J213" s="397"/>
    </row>
    <row r="214" spans="1:10" ht="16.5">
      <c r="A214" s="382"/>
      <c r="B214" s="395"/>
      <c r="C214" s="396"/>
      <c r="D214" s="396"/>
      <c r="E214" s="396"/>
      <c r="F214" s="397"/>
      <c r="G214" s="397"/>
      <c r="H214" s="397"/>
      <c r="I214" s="397"/>
      <c r="J214" s="397"/>
    </row>
    <row r="215" spans="1:10" ht="16.5">
      <c r="A215" s="382"/>
      <c r="B215" s="395"/>
      <c r="C215" s="396"/>
      <c r="D215" s="396"/>
      <c r="E215" s="396"/>
      <c r="F215" s="397"/>
      <c r="G215" s="397"/>
      <c r="H215" s="397"/>
      <c r="I215" s="397"/>
      <c r="J215" s="397"/>
    </row>
    <row r="216" spans="1:10" ht="16.5">
      <c r="A216" s="382"/>
      <c r="B216" s="395"/>
      <c r="C216" s="396"/>
      <c r="D216" s="396"/>
      <c r="E216" s="396"/>
      <c r="F216" s="397"/>
      <c r="G216" s="397"/>
      <c r="H216" s="397"/>
      <c r="I216" s="397"/>
      <c r="J216" s="397"/>
    </row>
    <row r="217" spans="1:10" ht="16.5">
      <c r="A217" s="382"/>
      <c r="B217" s="395"/>
      <c r="C217" s="396"/>
      <c r="D217" s="396"/>
      <c r="E217" s="396"/>
      <c r="F217" s="397"/>
      <c r="G217" s="397"/>
      <c r="H217" s="397"/>
      <c r="I217" s="397"/>
      <c r="J217" s="397"/>
    </row>
    <row r="218" spans="1:10" ht="16.5">
      <c r="A218" s="382"/>
      <c r="B218" s="395"/>
      <c r="C218" s="396"/>
      <c r="D218" s="396"/>
      <c r="E218" s="396"/>
      <c r="F218" s="397"/>
      <c r="G218" s="397"/>
      <c r="H218" s="397"/>
      <c r="I218" s="397"/>
      <c r="J218" s="397"/>
    </row>
    <row r="219" spans="1:10" ht="16.5">
      <c r="A219" s="382"/>
      <c r="B219" s="395"/>
      <c r="C219" s="396"/>
      <c r="D219" s="396"/>
      <c r="E219" s="396"/>
      <c r="F219" s="397"/>
      <c r="G219" s="397"/>
      <c r="H219" s="397"/>
      <c r="I219" s="397"/>
      <c r="J219" s="397"/>
    </row>
    <row r="220" spans="1:10" ht="16.5">
      <c r="A220" s="382"/>
      <c r="B220" s="395"/>
      <c r="C220" s="396"/>
      <c r="D220" s="396"/>
      <c r="E220" s="396"/>
      <c r="F220" s="397"/>
      <c r="G220" s="397"/>
      <c r="H220" s="397"/>
      <c r="I220" s="397"/>
      <c r="J220" s="397"/>
    </row>
    <row r="221" spans="1:10" ht="16.5">
      <c r="A221" s="382"/>
      <c r="B221" s="395"/>
      <c r="C221" s="396"/>
      <c r="D221" s="396"/>
      <c r="E221" s="396"/>
      <c r="F221" s="397"/>
      <c r="G221" s="397"/>
      <c r="H221" s="397"/>
      <c r="I221" s="397"/>
      <c r="J221" s="397"/>
    </row>
    <row r="222" spans="1:10" ht="16.5">
      <c r="A222" s="382"/>
      <c r="B222" s="395"/>
      <c r="C222" s="396"/>
      <c r="D222" s="396"/>
      <c r="E222" s="396"/>
      <c r="F222" s="397"/>
      <c r="G222" s="397"/>
      <c r="H222" s="397"/>
      <c r="I222" s="397"/>
      <c r="J222" s="397"/>
    </row>
    <row r="223" spans="1:10" ht="16.5">
      <c r="A223" s="382"/>
      <c r="B223" s="395"/>
      <c r="C223" s="396"/>
      <c r="D223" s="396"/>
      <c r="E223" s="396"/>
      <c r="F223" s="397"/>
      <c r="G223" s="397"/>
      <c r="H223" s="397"/>
      <c r="I223" s="397"/>
      <c r="J223" s="397"/>
    </row>
    <row r="224" spans="1:10" ht="16.5">
      <c r="A224" s="382"/>
      <c r="B224" s="395"/>
      <c r="C224" s="396"/>
      <c r="D224" s="396"/>
      <c r="E224" s="396"/>
      <c r="F224" s="397"/>
      <c r="G224" s="397"/>
      <c r="H224" s="397"/>
      <c r="I224" s="397"/>
      <c r="J224" s="397"/>
    </row>
    <row r="225" spans="1:10" ht="16.5">
      <c r="A225" s="382"/>
      <c r="B225" s="395"/>
      <c r="C225" s="396"/>
      <c r="D225" s="396"/>
      <c r="E225" s="396"/>
      <c r="F225" s="397"/>
      <c r="G225" s="397"/>
      <c r="H225" s="397"/>
      <c r="I225" s="397"/>
      <c r="J225" s="397"/>
    </row>
    <row r="226" spans="1:10" ht="16.5">
      <c r="A226" s="382"/>
      <c r="B226" s="395"/>
      <c r="C226" s="396"/>
      <c r="D226" s="396"/>
      <c r="E226" s="396"/>
      <c r="F226" s="397"/>
      <c r="G226" s="397"/>
      <c r="H226" s="397"/>
      <c r="I226" s="397"/>
      <c r="J226" s="397"/>
    </row>
    <row r="227" spans="1:10" ht="16.5">
      <c r="A227" s="382"/>
      <c r="B227" s="395"/>
      <c r="C227" s="396"/>
      <c r="D227" s="396"/>
      <c r="E227" s="396"/>
      <c r="F227" s="397"/>
      <c r="G227" s="397"/>
      <c r="H227" s="397"/>
      <c r="I227" s="397"/>
      <c r="J227" s="397"/>
    </row>
    <row r="228" spans="1:10" ht="16.5">
      <c r="A228" s="382"/>
      <c r="B228" s="395"/>
      <c r="C228" s="396"/>
      <c r="D228" s="396"/>
      <c r="E228" s="396"/>
      <c r="F228" s="397"/>
      <c r="G228" s="397"/>
      <c r="H228" s="397"/>
      <c r="I228" s="397"/>
      <c r="J228" s="397"/>
    </row>
    <row r="229" spans="1:10" ht="16.5">
      <c r="A229" s="382"/>
      <c r="B229" s="395"/>
      <c r="C229" s="396"/>
      <c r="D229" s="396"/>
      <c r="E229" s="396"/>
      <c r="F229" s="397"/>
      <c r="G229" s="397"/>
      <c r="H229" s="397"/>
      <c r="I229" s="397"/>
      <c r="J229" s="397"/>
    </row>
    <row r="230" spans="1:10" ht="16.5">
      <c r="A230" s="382"/>
      <c r="B230" s="395"/>
      <c r="C230" s="396"/>
      <c r="D230" s="396"/>
      <c r="E230" s="396"/>
      <c r="F230" s="397"/>
      <c r="G230" s="397"/>
      <c r="H230" s="397"/>
      <c r="I230" s="397"/>
      <c r="J230" s="397"/>
    </row>
    <row r="231" spans="1:10" ht="16.5">
      <c r="A231" s="382"/>
      <c r="B231" s="395"/>
      <c r="C231" s="396"/>
      <c r="D231" s="396"/>
      <c r="E231" s="396"/>
      <c r="F231" s="397"/>
      <c r="G231" s="397"/>
      <c r="H231" s="397"/>
      <c r="I231" s="397"/>
      <c r="J231" s="397"/>
    </row>
    <row r="232" spans="1:10" ht="16.5">
      <c r="A232" s="382"/>
      <c r="B232" s="395"/>
      <c r="C232" s="396"/>
      <c r="D232" s="396"/>
      <c r="E232" s="396"/>
      <c r="F232" s="397"/>
      <c r="G232" s="397"/>
      <c r="H232" s="397"/>
      <c r="I232" s="397"/>
      <c r="J232" s="397"/>
    </row>
    <row r="233" spans="1:10" ht="16.5">
      <c r="A233" s="382"/>
      <c r="B233" s="395"/>
      <c r="C233" s="396"/>
      <c r="D233" s="396"/>
      <c r="E233" s="396"/>
      <c r="F233" s="397"/>
      <c r="G233" s="397"/>
      <c r="H233" s="397"/>
      <c r="I233" s="397"/>
      <c r="J233" s="397"/>
    </row>
    <row r="234" spans="1:10" ht="16.5">
      <c r="A234" s="382"/>
      <c r="B234" s="395"/>
      <c r="C234" s="396"/>
      <c r="D234" s="396"/>
      <c r="E234" s="396"/>
      <c r="F234" s="397"/>
      <c r="G234" s="397"/>
      <c r="H234" s="397"/>
      <c r="I234" s="397"/>
      <c r="J234" s="397"/>
    </row>
    <row r="235" spans="1:10" ht="16.5">
      <c r="A235" s="382"/>
      <c r="B235" s="395"/>
      <c r="C235" s="396"/>
      <c r="D235" s="396"/>
      <c r="E235" s="396"/>
      <c r="F235" s="397"/>
      <c r="G235" s="397"/>
      <c r="H235" s="397"/>
      <c r="I235" s="397"/>
      <c r="J235" s="397"/>
    </row>
    <row r="236" spans="1:10" ht="16.5">
      <c r="A236" s="382"/>
      <c r="B236" s="395"/>
      <c r="C236" s="396"/>
      <c r="D236" s="396"/>
      <c r="E236" s="396"/>
      <c r="F236" s="397"/>
      <c r="G236" s="397"/>
      <c r="H236" s="397"/>
      <c r="I236" s="397"/>
      <c r="J236" s="397"/>
    </row>
    <row r="237" spans="1:10" ht="16.5">
      <c r="A237" s="382"/>
      <c r="B237" s="395"/>
      <c r="C237" s="396"/>
      <c r="D237" s="396"/>
      <c r="E237" s="396"/>
      <c r="F237" s="397"/>
      <c r="G237" s="397"/>
      <c r="H237" s="397"/>
      <c r="I237" s="397"/>
      <c r="J237" s="397"/>
    </row>
    <row r="238" spans="1:10" ht="16.5">
      <c r="A238" s="382"/>
      <c r="B238" s="395"/>
      <c r="C238" s="396"/>
      <c r="D238" s="396"/>
      <c r="E238" s="396"/>
      <c r="F238" s="397"/>
      <c r="G238" s="397"/>
      <c r="H238" s="397"/>
      <c r="I238" s="397"/>
      <c r="J238" s="397"/>
    </row>
    <row r="239" spans="1:10" ht="16.5">
      <c r="A239" s="382"/>
      <c r="B239" s="395"/>
      <c r="C239" s="396"/>
      <c r="D239" s="396"/>
      <c r="E239" s="396"/>
      <c r="F239" s="397"/>
      <c r="G239" s="397"/>
      <c r="H239" s="397"/>
      <c r="I239" s="397"/>
      <c r="J239" s="397"/>
    </row>
    <row r="240" spans="1:10" ht="16.5">
      <c r="A240" s="382"/>
      <c r="B240" s="395"/>
      <c r="C240" s="396"/>
      <c r="D240" s="396"/>
      <c r="E240" s="396"/>
      <c r="F240" s="397"/>
      <c r="G240" s="397"/>
      <c r="H240" s="397"/>
      <c r="I240" s="397"/>
      <c r="J240" s="397"/>
    </row>
    <row r="241" spans="1:10" ht="16.5">
      <c r="A241" s="382"/>
      <c r="B241" s="395"/>
      <c r="C241" s="396"/>
      <c r="D241" s="396"/>
      <c r="E241" s="396"/>
      <c r="F241" s="397"/>
      <c r="G241" s="397"/>
      <c r="H241" s="397"/>
      <c r="I241" s="397"/>
      <c r="J241" s="397"/>
    </row>
    <row r="242" spans="1:10" ht="16.5">
      <c r="A242" s="382"/>
      <c r="B242" s="395"/>
      <c r="C242" s="396"/>
      <c r="D242" s="396"/>
      <c r="E242" s="396"/>
      <c r="F242" s="397"/>
      <c r="G242" s="397"/>
      <c r="H242" s="397"/>
      <c r="I242" s="397"/>
      <c r="J242" s="397"/>
    </row>
    <row r="243" spans="1:10" ht="16.5">
      <c r="A243" s="382"/>
      <c r="B243" s="395"/>
      <c r="C243" s="396"/>
      <c r="D243" s="396"/>
      <c r="E243" s="396"/>
      <c r="F243" s="397"/>
      <c r="G243" s="397"/>
      <c r="H243" s="397"/>
      <c r="I243" s="397"/>
      <c r="J243" s="397"/>
    </row>
    <row r="244" spans="1:10" ht="16.5">
      <c r="A244" s="382"/>
      <c r="B244" s="395"/>
      <c r="C244" s="396"/>
      <c r="D244" s="396"/>
      <c r="E244" s="396"/>
      <c r="F244" s="397"/>
      <c r="G244" s="397"/>
      <c r="H244" s="397"/>
      <c r="I244" s="397"/>
      <c r="J244" s="397"/>
    </row>
    <row r="245" spans="1:10" ht="16.5">
      <c r="A245" s="382"/>
      <c r="B245" s="395"/>
      <c r="C245" s="396"/>
      <c r="D245" s="396"/>
      <c r="E245" s="396"/>
      <c r="F245" s="397"/>
      <c r="G245" s="397"/>
      <c r="H245" s="397"/>
      <c r="I245" s="397"/>
      <c r="J245" s="397"/>
    </row>
    <row r="246" spans="1:10" ht="16.5">
      <c r="A246" s="382"/>
      <c r="B246" s="395"/>
      <c r="C246" s="396"/>
      <c r="D246" s="396"/>
      <c r="E246" s="396"/>
      <c r="F246" s="397"/>
      <c r="G246" s="397"/>
      <c r="H246" s="397"/>
      <c r="I246" s="397"/>
      <c r="J246" s="397"/>
    </row>
    <row r="247" spans="1:10" ht="16.5">
      <c r="A247" s="382"/>
      <c r="B247" s="395"/>
      <c r="C247" s="396"/>
      <c r="D247" s="396"/>
      <c r="E247" s="396"/>
      <c r="F247" s="397"/>
      <c r="G247" s="397"/>
      <c r="H247" s="397"/>
      <c r="I247" s="397"/>
      <c r="J247" s="397"/>
    </row>
    <row r="248" spans="1:10" ht="16.5">
      <c r="A248" s="382"/>
      <c r="B248" s="395"/>
      <c r="C248" s="396"/>
      <c r="D248" s="396"/>
      <c r="E248" s="396"/>
      <c r="F248" s="397"/>
      <c r="G248" s="397"/>
      <c r="H248" s="397"/>
      <c r="I248" s="397"/>
      <c r="J248" s="397"/>
    </row>
    <row r="249" spans="1:10" ht="16.5">
      <c r="A249" s="382"/>
      <c r="B249" s="395"/>
      <c r="C249" s="396"/>
      <c r="D249" s="396"/>
      <c r="E249" s="396"/>
      <c r="F249" s="397"/>
      <c r="G249" s="397"/>
      <c r="H249" s="397"/>
      <c r="I249" s="397"/>
      <c r="J249" s="397"/>
    </row>
    <row r="250" spans="1:10" ht="16.5">
      <c r="A250" s="382"/>
      <c r="B250" s="395"/>
      <c r="C250" s="396"/>
      <c r="D250" s="396"/>
      <c r="E250" s="396"/>
      <c r="F250" s="397"/>
      <c r="G250" s="397"/>
      <c r="H250" s="397"/>
      <c r="I250" s="397"/>
      <c r="J250" s="397"/>
    </row>
    <row r="251" spans="1:10" ht="16.5">
      <c r="A251" s="382"/>
      <c r="B251" s="395"/>
      <c r="C251" s="396"/>
      <c r="D251" s="396"/>
      <c r="E251" s="396"/>
      <c r="F251" s="397"/>
      <c r="G251" s="397"/>
      <c r="H251" s="397"/>
      <c r="I251" s="397"/>
      <c r="J251" s="397"/>
    </row>
    <row r="252" spans="1:10" ht="16.5">
      <c r="A252" s="382"/>
      <c r="B252" s="395"/>
      <c r="C252" s="396"/>
      <c r="D252" s="396"/>
      <c r="E252" s="396"/>
      <c r="F252" s="397"/>
      <c r="G252" s="397"/>
      <c r="H252" s="397"/>
      <c r="I252" s="397"/>
      <c r="J252" s="397"/>
    </row>
  </sheetData>
  <sheetProtection/>
  <mergeCells count="13">
    <mergeCell ref="H1:I1"/>
    <mergeCell ref="B2:I2"/>
    <mergeCell ref="A3:I3"/>
    <mergeCell ref="A4:I4"/>
    <mergeCell ref="H5:I5"/>
    <mergeCell ref="A6:A7"/>
    <mergeCell ref="B6:B7"/>
    <mergeCell ref="C6:D6"/>
    <mergeCell ref="E6:E7"/>
    <mergeCell ref="F6:F7"/>
    <mergeCell ref="G6:G7"/>
    <mergeCell ref="H6:H7"/>
    <mergeCell ref="I6:I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V32"/>
  <sheetViews>
    <sheetView zoomScale="70" zoomScaleNormal="70" zoomScalePageLayoutView="0" workbookViewId="0" topLeftCell="A1">
      <pane xSplit="3" ySplit="9" topLeftCell="D24" activePane="bottomRight" state="frozen"/>
      <selection pane="topLeft" activeCell="A4" sqref="A4:P4"/>
      <selection pane="topRight" activeCell="A4" sqref="A4:P4"/>
      <selection pane="bottomLeft" activeCell="A4" sqref="A4:P4"/>
      <selection pane="bottomRight" activeCell="A4" sqref="A4:P4"/>
    </sheetView>
  </sheetViews>
  <sheetFormatPr defaultColWidth="9.140625" defaultRowHeight="12.75"/>
  <cols>
    <col min="1" max="1" width="5.8515625" style="0" customWidth="1"/>
    <col min="2" max="2" width="33.28125" style="0" customWidth="1"/>
    <col min="3" max="3" width="13.57421875" style="0" customWidth="1"/>
    <col min="4" max="9" width="12.140625" style="0" customWidth="1"/>
    <col min="10" max="10" width="14.140625" style="0" customWidth="1"/>
    <col min="13" max="13" width="22.140625" style="0" customWidth="1"/>
    <col min="17" max="19" width="13.140625" style="0" customWidth="1"/>
  </cols>
  <sheetData>
    <row r="1" spans="1:22" ht="25.5">
      <c r="A1" s="872"/>
      <c r="B1" s="872"/>
      <c r="C1" s="872"/>
      <c r="D1" s="872"/>
      <c r="E1" s="872"/>
      <c r="F1" s="872"/>
      <c r="G1" s="872"/>
      <c r="H1" s="873" t="s">
        <v>723</v>
      </c>
      <c r="I1" s="1860" t="s">
        <v>704</v>
      </c>
      <c r="J1" s="1860"/>
      <c r="K1" s="874"/>
      <c r="L1" s="872"/>
      <c r="M1" s="872"/>
      <c r="N1" s="872"/>
      <c r="O1" s="872"/>
      <c r="P1" s="872"/>
      <c r="Q1" s="872"/>
      <c r="R1" s="872"/>
      <c r="S1" s="872"/>
      <c r="T1" s="872"/>
      <c r="U1" s="872"/>
      <c r="V1" s="872"/>
    </row>
    <row r="2" spans="1:22" ht="19.5">
      <c r="A2" s="1861"/>
      <c r="B2" s="1861"/>
      <c r="C2" s="1861"/>
      <c r="D2" s="1861"/>
      <c r="E2" s="1861"/>
      <c r="F2" s="1861"/>
      <c r="G2" s="1861"/>
      <c r="H2" s="1861"/>
      <c r="I2" s="1861"/>
      <c r="J2" s="1861"/>
      <c r="K2" s="875"/>
      <c r="L2" s="876"/>
      <c r="M2" s="876"/>
      <c r="N2" s="876"/>
      <c r="O2" s="876"/>
      <c r="P2" s="876"/>
      <c r="Q2" s="876"/>
      <c r="R2" s="876"/>
      <c r="S2" s="876"/>
      <c r="T2" s="876"/>
      <c r="U2" s="876"/>
      <c r="V2" s="876"/>
    </row>
    <row r="3" spans="1:22" ht="19.5">
      <c r="A3" s="1862" t="s">
        <v>476</v>
      </c>
      <c r="B3" s="1862"/>
      <c r="C3" s="1862"/>
      <c r="D3" s="1862"/>
      <c r="E3" s="1862"/>
      <c r="F3" s="1862"/>
      <c r="G3" s="1862"/>
      <c r="H3" s="1862"/>
      <c r="I3" s="1862"/>
      <c r="J3" s="1862"/>
      <c r="K3" s="872"/>
      <c r="L3" s="872"/>
      <c r="M3" s="872"/>
      <c r="N3" s="872"/>
      <c r="O3" s="872"/>
      <c r="P3" s="872"/>
      <c r="Q3" s="872"/>
      <c r="R3" s="872"/>
      <c r="S3" s="872"/>
      <c r="T3" s="872"/>
      <c r="U3" s="872"/>
      <c r="V3" s="872"/>
    </row>
    <row r="4" spans="1:22" ht="18.75">
      <c r="A4" s="1863" t="s">
        <v>724</v>
      </c>
      <c r="B4" s="1863"/>
      <c r="C4" s="1863"/>
      <c r="D4" s="1863"/>
      <c r="E4" s="1863"/>
      <c r="F4" s="1863"/>
      <c r="G4" s="1863"/>
      <c r="H4" s="1863"/>
      <c r="I4" s="1863"/>
      <c r="J4" s="1863"/>
      <c r="K4" s="872"/>
      <c r="L4" s="872"/>
      <c r="M4" s="872"/>
      <c r="N4" s="872"/>
      <c r="O4" s="872"/>
      <c r="P4" s="872"/>
      <c r="Q4" s="872"/>
      <c r="R4" s="872"/>
      <c r="S4" s="872"/>
      <c r="T4" s="872"/>
      <c r="U4" s="872"/>
      <c r="V4" s="872"/>
    </row>
    <row r="5" spans="1:22" ht="18.75">
      <c r="A5" s="1863" t="s">
        <v>725</v>
      </c>
      <c r="B5" s="1863"/>
      <c r="C5" s="1863"/>
      <c r="D5" s="1863"/>
      <c r="E5" s="1863"/>
      <c r="F5" s="1863"/>
      <c r="G5" s="1863"/>
      <c r="H5" s="1863"/>
      <c r="I5" s="1863"/>
      <c r="J5" s="1863"/>
      <c r="K5" s="872"/>
      <c r="L5" s="872"/>
      <c r="M5" s="872"/>
      <c r="N5" s="872"/>
      <c r="O5" s="872"/>
      <c r="P5" s="872"/>
      <c r="Q5" s="872"/>
      <c r="R5" s="872"/>
      <c r="S5" s="872"/>
      <c r="T5" s="872"/>
      <c r="U5" s="872"/>
      <c r="V5" s="872"/>
    </row>
    <row r="6" spans="1:22" ht="18.75">
      <c r="A6" s="877"/>
      <c r="B6" s="877"/>
      <c r="C6" s="877"/>
      <c r="D6" s="877"/>
      <c r="E6" s="877"/>
      <c r="F6" s="877"/>
      <c r="G6" s="877"/>
      <c r="H6" s="877"/>
      <c r="I6" s="872"/>
      <c r="J6" s="872"/>
      <c r="K6" s="872"/>
      <c r="L6" s="872"/>
      <c r="M6" s="872"/>
      <c r="N6" s="872"/>
      <c r="O6" s="872"/>
      <c r="P6" s="872"/>
      <c r="Q6" s="872"/>
      <c r="R6" s="872"/>
      <c r="S6" s="872"/>
      <c r="T6" s="872"/>
      <c r="U6" s="872"/>
      <c r="V6" s="872"/>
    </row>
    <row r="7" spans="1:22" ht="12.75">
      <c r="A7" s="1858" t="s">
        <v>0</v>
      </c>
      <c r="B7" s="1858" t="s">
        <v>211</v>
      </c>
      <c r="C7" s="1858" t="s">
        <v>104</v>
      </c>
      <c r="D7" s="1858" t="s">
        <v>694</v>
      </c>
      <c r="E7" s="1858" t="s">
        <v>695</v>
      </c>
      <c r="F7" s="1856" t="s">
        <v>696</v>
      </c>
      <c r="G7" s="1856" t="s">
        <v>697</v>
      </c>
      <c r="H7" s="1856" t="s">
        <v>698</v>
      </c>
      <c r="I7" s="1856" t="s">
        <v>699</v>
      </c>
      <c r="J7" s="1858" t="s">
        <v>726</v>
      </c>
      <c r="K7" s="872"/>
      <c r="L7" s="872"/>
      <c r="M7" s="872"/>
      <c r="N7" s="872"/>
      <c r="O7" s="872"/>
      <c r="P7" s="872"/>
      <c r="Q7" s="872"/>
      <c r="R7" s="872"/>
      <c r="S7" s="872"/>
      <c r="T7" s="872"/>
      <c r="U7" s="872"/>
      <c r="V7" s="872"/>
    </row>
    <row r="8" spans="1:22" ht="41.25" customHeight="1">
      <c r="A8" s="1858"/>
      <c r="B8" s="1858"/>
      <c r="C8" s="1858"/>
      <c r="D8" s="1858"/>
      <c r="E8" s="1858"/>
      <c r="F8" s="1857"/>
      <c r="G8" s="1857"/>
      <c r="H8" s="1857"/>
      <c r="I8" s="1857"/>
      <c r="J8" s="1858"/>
      <c r="K8" s="872"/>
      <c r="L8" s="872"/>
      <c r="M8" s="872"/>
      <c r="N8" s="872"/>
      <c r="O8" s="872"/>
      <c r="P8" s="872"/>
      <c r="Q8" s="872"/>
      <c r="R8" s="872"/>
      <c r="S8" s="872"/>
      <c r="T8" s="872"/>
      <c r="U8" s="872"/>
      <c r="V8" s="872"/>
    </row>
    <row r="9" spans="1:22" ht="20.25" customHeight="1">
      <c r="A9" s="878" t="s">
        <v>29</v>
      </c>
      <c r="B9" s="879" t="s">
        <v>727</v>
      </c>
      <c r="C9" s="878"/>
      <c r="D9" s="880"/>
      <c r="E9" s="880"/>
      <c r="F9" s="880"/>
      <c r="G9" s="881"/>
      <c r="H9" s="881"/>
      <c r="I9" s="882"/>
      <c r="J9" s="882"/>
      <c r="K9" s="872"/>
      <c r="L9" s="872"/>
      <c r="M9" s="872"/>
      <c r="N9" s="872"/>
      <c r="O9" s="872"/>
      <c r="P9" s="872"/>
      <c r="Q9" s="872"/>
      <c r="R9" s="872"/>
      <c r="S9" s="872"/>
      <c r="T9" s="872"/>
      <c r="U9" s="872"/>
      <c r="V9" s="872"/>
    </row>
    <row r="10" spans="1:22" ht="36" customHeight="1">
      <c r="A10" s="883">
        <v>1</v>
      </c>
      <c r="B10" s="884" t="s">
        <v>728</v>
      </c>
      <c r="C10" s="883" t="s">
        <v>727</v>
      </c>
      <c r="D10" s="880">
        <f>46-27</f>
        <v>19</v>
      </c>
      <c r="E10" s="880">
        <v>18</v>
      </c>
      <c r="F10" s="880">
        <v>18</v>
      </c>
      <c r="G10" s="881">
        <v>18</v>
      </c>
      <c r="H10" s="881">
        <v>19</v>
      </c>
      <c r="I10" s="880">
        <v>20</v>
      </c>
      <c r="J10" s="880">
        <v>20</v>
      </c>
      <c r="K10" s="872"/>
      <c r="L10" s="872"/>
      <c r="M10" s="872"/>
      <c r="N10" s="872"/>
      <c r="O10" s="872"/>
      <c r="P10" s="872"/>
      <c r="Q10" s="872"/>
      <c r="R10" s="872"/>
      <c r="S10" s="872"/>
      <c r="T10" s="872"/>
      <c r="U10" s="872"/>
      <c r="V10" s="872"/>
    </row>
    <row r="11" spans="1:22" ht="20.25" customHeight="1">
      <c r="A11" s="883"/>
      <c r="B11" s="885" t="s">
        <v>136</v>
      </c>
      <c r="C11" s="883"/>
      <c r="D11" s="880"/>
      <c r="E11" s="880"/>
      <c r="F11" s="880"/>
      <c r="G11" s="881"/>
      <c r="H11" s="881"/>
      <c r="I11" s="882"/>
      <c r="J11" s="882"/>
      <c r="K11" s="872"/>
      <c r="L11" s="872"/>
      <c r="M11" s="872"/>
      <c r="N11" s="872"/>
      <c r="O11" s="872"/>
      <c r="P11" s="872"/>
      <c r="Q11" s="872"/>
      <c r="R11" s="872"/>
      <c r="S11" s="872"/>
      <c r="T11" s="872"/>
      <c r="U11" s="872"/>
      <c r="V11" s="872"/>
    </row>
    <row r="12" spans="1:22" ht="34.5" customHeight="1">
      <c r="A12" s="886"/>
      <c r="B12" s="884" t="s">
        <v>729</v>
      </c>
      <c r="C12" s="883" t="s">
        <v>727</v>
      </c>
      <c r="D12" s="880">
        <v>2</v>
      </c>
      <c r="E12" s="880">
        <v>1</v>
      </c>
      <c r="F12" s="880">
        <v>1</v>
      </c>
      <c r="G12" s="881">
        <v>1</v>
      </c>
      <c r="H12" s="881">
        <v>2</v>
      </c>
      <c r="I12" s="880">
        <v>2</v>
      </c>
      <c r="J12" s="880">
        <f>SUM(E12:I12)</f>
        <v>7</v>
      </c>
      <c r="K12" s="872"/>
      <c r="L12" s="872"/>
      <c r="M12" s="872"/>
      <c r="N12" s="872"/>
      <c r="O12" s="872"/>
      <c r="P12" s="1864" t="s">
        <v>909</v>
      </c>
      <c r="Q12" s="1864"/>
      <c r="R12" s="1864"/>
      <c r="S12" s="1864"/>
      <c r="T12" s="1864"/>
      <c r="U12" s="1864"/>
      <c r="V12" s="1864"/>
    </row>
    <row r="13" spans="1:22" ht="34.5" customHeight="1">
      <c r="A13" s="886"/>
      <c r="B13" s="884" t="s">
        <v>730</v>
      </c>
      <c r="C13" s="883" t="s">
        <v>727</v>
      </c>
      <c r="D13" s="880">
        <v>27</v>
      </c>
      <c r="E13" s="880">
        <v>2</v>
      </c>
      <c r="F13" s="880">
        <v>1</v>
      </c>
      <c r="G13" s="881">
        <v>1</v>
      </c>
      <c r="H13" s="881">
        <v>1</v>
      </c>
      <c r="I13" s="880">
        <v>1</v>
      </c>
      <c r="J13" s="880">
        <v>5</v>
      </c>
      <c r="K13" s="872"/>
      <c r="L13" s="872"/>
      <c r="M13" s="872"/>
      <c r="N13" s="872"/>
      <c r="O13" s="872"/>
      <c r="P13" s="872"/>
      <c r="Q13" s="872"/>
      <c r="R13" s="872"/>
      <c r="S13" s="872"/>
      <c r="T13" s="872"/>
      <c r="U13" s="872"/>
      <c r="V13" s="872"/>
    </row>
    <row r="14" spans="1:22" ht="34.5" customHeight="1">
      <c r="A14" s="883">
        <v>2</v>
      </c>
      <c r="B14" s="884" t="s">
        <v>731</v>
      </c>
      <c r="C14" s="883" t="s">
        <v>299</v>
      </c>
      <c r="D14" s="887">
        <v>1080</v>
      </c>
      <c r="E14" s="888">
        <f>D14+30</f>
        <v>1110</v>
      </c>
      <c r="F14" s="889">
        <f>E14</f>
        <v>1110</v>
      </c>
      <c r="G14" s="890">
        <f>F14</f>
        <v>1110</v>
      </c>
      <c r="H14" s="890">
        <f>G14+20</f>
        <v>1130</v>
      </c>
      <c r="I14" s="889">
        <f>H14+20</f>
        <v>1150</v>
      </c>
      <c r="J14" s="889">
        <f>I14</f>
        <v>1150</v>
      </c>
      <c r="K14" s="872"/>
      <c r="L14" s="872"/>
      <c r="M14" s="872"/>
      <c r="N14" s="872"/>
      <c r="O14" s="872"/>
      <c r="P14" s="872"/>
      <c r="Q14" s="1859" t="s">
        <v>910</v>
      </c>
      <c r="R14" s="1858" t="s">
        <v>911</v>
      </c>
      <c r="S14" s="1858" t="s">
        <v>912</v>
      </c>
      <c r="T14" s="872"/>
      <c r="U14" s="872"/>
      <c r="V14" s="872"/>
    </row>
    <row r="15" spans="1:22" ht="35.25" customHeight="1">
      <c r="A15" s="883">
        <v>3</v>
      </c>
      <c r="B15" s="884" t="s">
        <v>732</v>
      </c>
      <c r="C15" s="883" t="s">
        <v>299</v>
      </c>
      <c r="D15" s="887">
        <f aca="true" t="shared" si="0" ref="D15:J16">D14</f>
        <v>1080</v>
      </c>
      <c r="E15" s="888">
        <f t="shared" si="0"/>
        <v>1110</v>
      </c>
      <c r="F15" s="889">
        <f t="shared" si="0"/>
        <v>1110</v>
      </c>
      <c r="G15" s="890">
        <f t="shared" si="0"/>
        <v>1110</v>
      </c>
      <c r="H15" s="890">
        <f t="shared" si="0"/>
        <v>1130</v>
      </c>
      <c r="I15" s="890">
        <f t="shared" si="0"/>
        <v>1150</v>
      </c>
      <c r="J15" s="890">
        <f t="shared" si="0"/>
        <v>1150</v>
      </c>
      <c r="K15" s="872"/>
      <c r="L15" s="917"/>
      <c r="M15" s="872"/>
      <c r="N15" s="872"/>
      <c r="O15" s="872"/>
      <c r="P15" s="872"/>
      <c r="Q15" s="1859"/>
      <c r="R15" s="1858"/>
      <c r="S15" s="1858"/>
      <c r="T15" s="872"/>
      <c r="U15" s="872"/>
      <c r="V15" s="872"/>
    </row>
    <row r="16" spans="1:22" ht="35.25" customHeight="1">
      <c r="A16" s="883"/>
      <c r="B16" s="885" t="s">
        <v>733</v>
      </c>
      <c r="C16" s="883" t="s">
        <v>299</v>
      </c>
      <c r="D16" s="887">
        <f t="shared" si="0"/>
        <v>1080</v>
      </c>
      <c r="E16" s="888">
        <f t="shared" si="0"/>
        <v>1110</v>
      </c>
      <c r="F16" s="889">
        <f t="shared" si="0"/>
        <v>1110</v>
      </c>
      <c r="G16" s="890">
        <f t="shared" si="0"/>
        <v>1110</v>
      </c>
      <c r="H16" s="890">
        <f t="shared" si="0"/>
        <v>1130</v>
      </c>
      <c r="I16" s="890">
        <f t="shared" si="0"/>
        <v>1150</v>
      </c>
      <c r="J16" s="890">
        <f>J15</f>
        <v>1150</v>
      </c>
      <c r="K16" s="872"/>
      <c r="L16" s="872"/>
      <c r="M16" s="872"/>
      <c r="N16" s="872"/>
      <c r="O16" s="872"/>
      <c r="P16" s="872"/>
      <c r="Q16" s="891" t="s">
        <v>913</v>
      </c>
      <c r="R16" s="891" t="s">
        <v>914</v>
      </c>
      <c r="S16" s="891" t="s">
        <v>915</v>
      </c>
      <c r="T16" s="872"/>
      <c r="U16" s="872"/>
      <c r="V16" s="872"/>
    </row>
    <row r="17" spans="1:19" ht="35.25" customHeight="1" hidden="1">
      <c r="A17" s="878" t="s">
        <v>30</v>
      </c>
      <c r="B17" s="879" t="s">
        <v>734</v>
      </c>
      <c r="C17" s="883"/>
      <c r="D17" s="880"/>
      <c r="E17" s="880"/>
      <c r="F17" s="880"/>
      <c r="G17" s="881"/>
      <c r="H17" s="881"/>
      <c r="I17" s="882"/>
      <c r="J17" s="882"/>
      <c r="K17" s="872"/>
      <c r="L17" s="872"/>
      <c r="M17" s="872"/>
      <c r="N17" s="872"/>
      <c r="O17" s="872"/>
      <c r="P17" s="872"/>
      <c r="Q17" s="891" t="s">
        <v>916</v>
      </c>
      <c r="R17" s="891" t="s">
        <v>917</v>
      </c>
      <c r="S17" s="891" t="s">
        <v>918</v>
      </c>
    </row>
    <row r="18" spans="1:19" ht="35.25" customHeight="1" hidden="1">
      <c r="A18" s="883">
        <v>1</v>
      </c>
      <c r="B18" s="884" t="s">
        <v>735</v>
      </c>
      <c r="C18" s="883" t="s">
        <v>734</v>
      </c>
      <c r="D18" s="880"/>
      <c r="E18" s="880"/>
      <c r="F18" s="880"/>
      <c r="G18" s="881"/>
      <c r="H18" s="881"/>
      <c r="I18" s="882"/>
      <c r="J18" s="882"/>
      <c r="K18" s="872"/>
      <c r="L18" s="872"/>
      <c r="M18" s="872"/>
      <c r="N18" s="872"/>
      <c r="O18" s="872"/>
      <c r="P18" s="872"/>
      <c r="Q18" s="891" t="s">
        <v>919</v>
      </c>
      <c r="R18" s="891"/>
      <c r="S18" s="891" t="s">
        <v>920</v>
      </c>
    </row>
    <row r="19" spans="1:19" ht="32.25" customHeight="1" hidden="1">
      <c r="A19" s="883"/>
      <c r="B19" s="885" t="s">
        <v>136</v>
      </c>
      <c r="C19" s="883"/>
      <c r="D19" s="880"/>
      <c r="E19" s="880"/>
      <c r="F19" s="880"/>
      <c r="G19" s="881"/>
      <c r="H19" s="881"/>
      <c r="I19" s="882"/>
      <c r="J19" s="882"/>
      <c r="K19" s="872"/>
      <c r="L19" s="872"/>
      <c r="M19" s="872"/>
      <c r="N19" s="872"/>
      <c r="O19" s="872"/>
      <c r="P19" s="872"/>
      <c r="Q19" s="891" t="s">
        <v>921</v>
      </c>
      <c r="R19" s="891"/>
      <c r="S19" s="891" t="s">
        <v>922</v>
      </c>
    </row>
    <row r="20" spans="1:19" ht="32.25" customHeight="1" hidden="1">
      <c r="A20" s="886" t="s">
        <v>207</v>
      </c>
      <c r="B20" s="884" t="s">
        <v>736</v>
      </c>
      <c r="C20" s="883" t="s">
        <v>734</v>
      </c>
      <c r="D20" s="882"/>
      <c r="E20" s="882"/>
      <c r="F20" s="882"/>
      <c r="G20" s="892"/>
      <c r="H20" s="892"/>
      <c r="I20" s="882"/>
      <c r="J20" s="882"/>
      <c r="K20" s="872"/>
      <c r="L20" s="872"/>
      <c r="M20" s="872"/>
      <c r="N20" s="872"/>
      <c r="O20" s="872"/>
      <c r="P20" s="872"/>
      <c r="Q20" s="891" t="s">
        <v>923</v>
      </c>
      <c r="R20" s="891"/>
      <c r="S20" s="891"/>
    </row>
    <row r="21" spans="1:19" ht="32.25" customHeight="1" hidden="1">
      <c r="A21" s="886" t="s">
        <v>207</v>
      </c>
      <c r="B21" s="884" t="s">
        <v>737</v>
      </c>
      <c r="C21" s="883" t="s">
        <v>734</v>
      </c>
      <c r="D21" s="880"/>
      <c r="E21" s="880"/>
      <c r="F21" s="880"/>
      <c r="G21" s="881"/>
      <c r="H21" s="881"/>
      <c r="I21" s="882"/>
      <c r="J21" s="882"/>
      <c r="K21" s="872"/>
      <c r="L21" s="872"/>
      <c r="M21" s="872"/>
      <c r="N21" s="872"/>
      <c r="O21" s="872"/>
      <c r="P21" s="872"/>
      <c r="Q21" s="891"/>
      <c r="R21" s="891"/>
      <c r="S21" s="891"/>
    </row>
    <row r="22" spans="1:19" ht="32.25" customHeight="1" hidden="1">
      <c r="A22" s="883">
        <v>2</v>
      </c>
      <c r="B22" s="884" t="s">
        <v>738</v>
      </c>
      <c r="C22" s="883" t="s">
        <v>727</v>
      </c>
      <c r="D22" s="880"/>
      <c r="E22" s="880"/>
      <c r="F22" s="880"/>
      <c r="G22" s="881"/>
      <c r="H22" s="881"/>
      <c r="I22" s="882"/>
      <c r="J22" s="882"/>
      <c r="K22" s="872"/>
      <c r="L22" s="872"/>
      <c r="M22" s="872"/>
      <c r="N22" s="872"/>
      <c r="O22" s="872"/>
      <c r="P22" s="872"/>
      <c r="Q22" s="872"/>
      <c r="R22" s="872"/>
      <c r="S22" s="872"/>
    </row>
    <row r="23" spans="1:19" ht="32.25" customHeight="1" hidden="1">
      <c r="A23" s="883">
        <v>3</v>
      </c>
      <c r="B23" s="884" t="s">
        <v>739</v>
      </c>
      <c r="C23" s="883" t="s">
        <v>299</v>
      </c>
      <c r="D23" s="884"/>
      <c r="E23" s="884"/>
      <c r="F23" s="884"/>
      <c r="G23" s="884"/>
      <c r="H23" s="884"/>
      <c r="I23" s="884"/>
      <c r="J23" s="884"/>
      <c r="K23" s="872"/>
      <c r="L23" s="872"/>
      <c r="M23" s="872"/>
      <c r="N23" s="872"/>
      <c r="O23" s="872"/>
      <c r="P23" s="872"/>
      <c r="Q23" s="872"/>
      <c r="R23" s="872"/>
      <c r="S23" s="872"/>
    </row>
    <row r="24" spans="1:19" ht="32.25" customHeight="1">
      <c r="A24" s="878" t="s">
        <v>30</v>
      </c>
      <c r="B24" s="879" t="s">
        <v>740</v>
      </c>
      <c r="C24" s="878"/>
      <c r="D24" s="884"/>
      <c r="E24" s="884"/>
      <c r="F24" s="884"/>
      <c r="G24" s="884"/>
      <c r="H24" s="884"/>
      <c r="I24" s="884"/>
      <c r="J24" s="884"/>
      <c r="K24" s="872"/>
      <c r="L24" s="872"/>
      <c r="M24" s="872"/>
      <c r="N24" s="872"/>
      <c r="O24" s="872"/>
      <c r="P24" s="872"/>
      <c r="Q24" s="872"/>
      <c r="R24" s="872"/>
      <c r="S24" s="872"/>
    </row>
    <row r="25" spans="1:19" ht="32.25" customHeight="1">
      <c r="A25" s="883">
        <v>1</v>
      </c>
      <c r="B25" s="884" t="s">
        <v>741</v>
      </c>
      <c r="C25" s="883" t="s">
        <v>742</v>
      </c>
      <c r="D25" s="884">
        <v>30</v>
      </c>
      <c r="E25" s="884">
        <v>31</v>
      </c>
      <c r="F25" s="884">
        <v>33</v>
      </c>
      <c r="G25" s="884">
        <v>34</v>
      </c>
      <c r="H25" s="884">
        <v>35</v>
      </c>
      <c r="I25" s="884">
        <v>36</v>
      </c>
      <c r="J25" s="884">
        <v>36</v>
      </c>
      <c r="K25" s="872"/>
      <c r="L25" s="872"/>
      <c r="M25" s="872"/>
      <c r="N25" s="872"/>
      <c r="O25" s="872"/>
      <c r="P25" s="872"/>
      <c r="Q25" s="872"/>
      <c r="R25" s="872"/>
      <c r="S25" s="872"/>
    </row>
    <row r="26" spans="1:19" ht="39" customHeight="1">
      <c r="A26" s="883"/>
      <c r="B26" s="885" t="s">
        <v>743</v>
      </c>
      <c r="C26" s="883"/>
      <c r="D26" s="884">
        <v>30</v>
      </c>
      <c r="E26" s="884">
        <f>E25</f>
        <v>31</v>
      </c>
      <c r="F26" s="884">
        <f>F25</f>
        <v>33</v>
      </c>
      <c r="G26" s="884">
        <f>G25</f>
        <v>34</v>
      </c>
      <c r="H26" s="884">
        <f>H25</f>
        <v>35</v>
      </c>
      <c r="I26" s="884">
        <f>I25</f>
        <v>36</v>
      </c>
      <c r="J26" s="884">
        <v>36</v>
      </c>
      <c r="K26" s="872"/>
      <c r="L26" s="872"/>
      <c r="M26" s="872"/>
      <c r="N26" s="872"/>
      <c r="O26" s="872"/>
      <c r="P26" s="872"/>
      <c r="Q26" s="872"/>
      <c r="R26" s="872"/>
      <c r="S26" s="872"/>
    </row>
    <row r="27" spans="1:19" ht="32.25" customHeight="1">
      <c r="A27" s="883">
        <v>2</v>
      </c>
      <c r="B27" s="884" t="s">
        <v>744</v>
      </c>
      <c r="C27" s="883" t="s">
        <v>745</v>
      </c>
      <c r="D27" s="915">
        <v>2220</v>
      </c>
      <c r="E27" s="915">
        <f>E28</f>
        <v>2235</v>
      </c>
      <c r="F27" s="915">
        <f>F28</f>
        <v>2265</v>
      </c>
      <c r="G27" s="915">
        <f>G28</f>
        <v>2285</v>
      </c>
      <c r="H27" s="915">
        <f>H28</f>
        <v>2300</v>
      </c>
      <c r="I27" s="915">
        <f>I28</f>
        <v>2320</v>
      </c>
      <c r="J27" s="916">
        <f>I27</f>
        <v>2320</v>
      </c>
      <c r="K27" s="872"/>
      <c r="L27" s="872"/>
      <c r="M27" s="872"/>
      <c r="N27" s="872"/>
      <c r="O27" s="872"/>
      <c r="P27" s="872"/>
      <c r="Q27" s="872"/>
      <c r="R27" s="872"/>
      <c r="S27" s="872"/>
    </row>
    <row r="28" spans="1:19" ht="32.25" customHeight="1">
      <c r="A28" s="884"/>
      <c r="B28" s="885" t="s">
        <v>746</v>
      </c>
      <c r="C28" s="883" t="s">
        <v>299</v>
      </c>
      <c r="D28" s="915">
        <f>D27</f>
        <v>2220</v>
      </c>
      <c r="E28" s="915">
        <f>E32</f>
        <v>2235</v>
      </c>
      <c r="F28" s="915">
        <f>F32</f>
        <v>2265</v>
      </c>
      <c r="G28" s="915">
        <f>G32</f>
        <v>2285</v>
      </c>
      <c r="H28" s="915">
        <f>H32</f>
        <v>2300</v>
      </c>
      <c r="I28" s="915">
        <f>I32</f>
        <v>2320</v>
      </c>
      <c r="J28" s="916">
        <f>I28</f>
        <v>2320</v>
      </c>
      <c r="K28" s="872"/>
      <c r="L28" s="872"/>
      <c r="M28" s="872"/>
      <c r="N28" s="872"/>
      <c r="O28" s="872"/>
      <c r="P28" s="872"/>
      <c r="Q28" s="872"/>
      <c r="R28" s="872"/>
      <c r="S28" s="872"/>
    </row>
    <row r="29" spans="1:19" ht="32.25" customHeight="1">
      <c r="A29" s="883">
        <v>3</v>
      </c>
      <c r="B29" s="884" t="s">
        <v>747</v>
      </c>
      <c r="C29" s="883" t="s">
        <v>299</v>
      </c>
      <c r="D29" s="915">
        <f aca="true" t="shared" si="1" ref="D29:I29">D31+D32</f>
        <v>3552</v>
      </c>
      <c r="E29" s="915">
        <f t="shared" si="1"/>
        <v>3576</v>
      </c>
      <c r="F29" s="915">
        <f t="shared" si="1"/>
        <v>3624</v>
      </c>
      <c r="G29" s="915">
        <f t="shared" si="1"/>
        <v>3656</v>
      </c>
      <c r="H29" s="915">
        <f t="shared" si="1"/>
        <v>3680</v>
      </c>
      <c r="I29" s="915">
        <f t="shared" si="1"/>
        <v>3712</v>
      </c>
      <c r="J29" s="916">
        <f>I29</f>
        <v>3712</v>
      </c>
      <c r="K29" s="872"/>
      <c r="L29" s="872"/>
      <c r="M29" s="872"/>
      <c r="N29" s="872"/>
      <c r="O29" s="872"/>
      <c r="P29" s="872"/>
      <c r="Q29" s="872"/>
      <c r="R29" s="872"/>
      <c r="S29" s="872"/>
    </row>
    <row r="30" spans="1:19" ht="32.25" customHeight="1">
      <c r="A30" s="884"/>
      <c r="B30" s="885" t="s">
        <v>136</v>
      </c>
      <c r="C30" s="883"/>
      <c r="D30" s="915"/>
      <c r="E30" s="915"/>
      <c r="F30" s="915"/>
      <c r="G30" s="915"/>
      <c r="H30" s="915"/>
      <c r="I30" s="915"/>
      <c r="J30" s="884"/>
      <c r="K30" s="872"/>
      <c r="L30" s="872"/>
      <c r="M30" s="872"/>
      <c r="N30" s="872"/>
      <c r="O30" s="872"/>
      <c r="P30" s="872"/>
      <c r="Q30" s="872"/>
      <c r="R30" s="872"/>
      <c r="S30" s="872"/>
    </row>
    <row r="31" spans="1:19" ht="32.25" customHeight="1">
      <c r="A31" s="886" t="s">
        <v>207</v>
      </c>
      <c r="B31" s="884" t="s">
        <v>748</v>
      </c>
      <c r="C31" s="883" t="s">
        <v>299</v>
      </c>
      <c r="D31" s="915">
        <v>1332</v>
      </c>
      <c r="E31" s="915">
        <v>1341</v>
      </c>
      <c r="F31" s="915">
        <v>1359</v>
      </c>
      <c r="G31" s="915">
        <v>1371</v>
      </c>
      <c r="H31" s="915">
        <v>1380</v>
      </c>
      <c r="I31" s="915">
        <v>1392</v>
      </c>
      <c r="J31" s="916">
        <f>I31</f>
        <v>1392</v>
      </c>
      <c r="K31" s="872"/>
      <c r="L31" s="872"/>
      <c r="M31" s="872"/>
      <c r="N31" s="872"/>
      <c r="O31" s="872"/>
      <c r="P31" s="872"/>
      <c r="Q31" s="872"/>
      <c r="R31" s="872"/>
      <c r="S31" s="872"/>
    </row>
    <row r="32" spans="1:19" ht="32.25" customHeight="1">
      <c r="A32" s="886" t="s">
        <v>207</v>
      </c>
      <c r="B32" s="884" t="s">
        <v>749</v>
      </c>
      <c r="C32" s="883" t="s">
        <v>299</v>
      </c>
      <c r="D32" s="915">
        <v>2220</v>
      </c>
      <c r="E32" s="915">
        <v>2235</v>
      </c>
      <c r="F32" s="915">
        <v>2265</v>
      </c>
      <c r="G32" s="915">
        <v>2285</v>
      </c>
      <c r="H32" s="915">
        <v>2300</v>
      </c>
      <c r="I32" s="915">
        <v>2320</v>
      </c>
      <c r="J32" s="916">
        <f>I32</f>
        <v>2320</v>
      </c>
      <c r="K32" s="872"/>
      <c r="L32" s="872"/>
      <c r="M32" s="872"/>
      <c r="N32" s="872"/>
      <c r="O32" s="872"/>
      <c r="P32" s="872"/>
      <c r="Q32" s="872"/>
      <c r="R32" s="872"/>
      <c r="S32" s="872"/>
    </row>
  </sheetData>
  <sheetProtection/>
  <mergeCells count="19">
    <mergeCell ref="Q14:Q15"/>
    <mergeCell ref="R14:R15"/>
    <mergeCell ref="S14:S15"/>
    <mergeCell ref="I1:J1"/>
    <mergeCell ref="A2:J2"/>
    <mergeCell ref="A3:J3"/>
    <mergeCell ref="A4:J4"/>
    <mergeCell ref="J7:J8"/>
    <mergeCell ref="P12:V12"/>
    <mergeCell ref="A5:J5"/>
    <mergeCell ref="G7:G8"/>
    <mergeCell ref="H7:H8"/>
    <mergeCell ref="I7:I8"/>
    <mergeCell ref="A7:A8"/>
    <mergeCell ref="B7:B8"/>
    <mergeCell ref="C7:C8"/>
    <mergeCell ref="D7:D8"/>
    <mergeCell ref="E7:E8"/>
    <mergeCell ref="F7:F8"/>
  </mergeCells>
  <printOptions horizontalCentered="1"/>
  <pageMargins left="0.1968503937007874" right="0.1968503937007874" top="0.5905511811023623" bottom="0.5905511811023623" header="0.31496062992125984" footer="0.3937007874015748"/>
  <pageSetup fitToHeight="0"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B23:B23"/>
  <sheetViews>
    <sheetView zoomScalePageLayoutView="0" workbookViewId="0" topLeftCell="A1">
      <selection activeCell="A4" sqref="A4:P4"/>
    </sheetView>
  </sheetViews>
  <sheetFormatPr defaultColWidth="9.140625" defaultRowHeight="12.75"/>
  <sheetData>
    <row r="23" ht="12.75">
      <c r="B23" s="1065">
        <f>5/13</f>
        <v>0.38461538461538464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1:AI137"/>
  <sheetViews>
    <sheetView zoomScalePageLayoutView="0" workbookViewId="0" topLeftCell="A1">
      <pane xSplit="3" ySplit="10" topLeftCell="D17" activePane="bottomRight" state="frozen"/>
      <selection pane="topLeft" activeCell="A4" sqref="A4:P4"/>
      <selection pane="topRight" activeCell="A4" sqref="A4:P4"/>
      <selection pane="bottomLeft" activeCell="A4" sqref="A4:P4"/>
      <selection pane="bottomRight" activeCell="A6" sqref="A6:IV6"/>
    </sheetView>
  </sheetViews>
  <sheetFormatPr defaultColWidth="7.8515625" defaultRowHeight="44.25" customHeight="1"/>
  <cols>
    <col min="1" max="1" width="4.7109375" style="560" customWidth="1"/>
    <col min="2" max="2" width="49.00390625" style="558" customWidth="1"/>
    <col min="3" max="3" width="11.7109375" style="560" customWidth="1"/>
    <col min="4" max="4" width="11.421875" style="560" hidden="1" customWidth="1"/>
    <col min="5" max="5" width="10.421875" style="560" hidden="1" customWidth="1"/>
    <col min="6" max="6" width="9.57421875" style="560" hidden="1" customWidth="1"/>
    <col min="7" max="7" width="9.28125" style="560" hidden="1" customWidth="1"/>
    <col min="8" max="8" width="12.140625" style="560" hidden="1" customWidth="1"/>
    <col min="9" max="9" width="12.7109375" style="560" hidden="1" customWidth="1"/>
    <col min="10" max="10" width="9.57421875" style="560" hidden="1" customWidth="1"/>
    <col min="11" max="11" width="12.57421875" style="560" hidden="1" customWidth="1"/>
    <col min="12" max="12" width="10.00390625" style="560" hidden="1" customWidth="1"/>
    <col min="13" max="15" width="11.00390625" style="560" hidden="1" customWidth="1"/>
    <col min="16" max="16" width="13.421875" style="560" hidden="1" customWidth="1"/>
    <col min="17" max="17" width="13.00390625" style="560" hidden="1" customWidth="1"/>
    <col min="18" max="21" width="9.57421875" style="560" hidden="1" customWidth="1"/>
    <col min="22" max="22" width="11.57421875" style="997" hidden="1" customWidth="1"/>
    <col min="23" max="23" width="15.57421875" style="558" hidden="1" customWidth="1"/>
    <col min="24" max="24" width="4.421875" style="558" hidden="1" customWidth="1"/>
    <col min="25" max="25" width="10.140625" style="558" hidden="1" customWidth="1"/>
    <col min="26" max="28" width="8.7109375" style="558" hidden="1" customWidth="1"/>
    <col min="29" max="29" width="13.57421875" style="1341" customWidth="1"/>
    <col min="30" max="30" width="11.00390625" style="560" hidden="1" customWidth="1"/>
    <col min="31" max="31" width="10.421875" style="560" hidden="1" customWidth="1"/>
    <col min="32" max="32" width="10.140625" style="560" hidden="1" customWidth="1"/>
    <col min="33" max="33" width="13.28125" style="558" customWidth="1"/>
    <col min="34" max="16384" width="7.8515625" style="558" customWidth="1"/>
  </cols>
  <sheetData>
    <row r="1" spans="2:32" s="331" customFormat="1" ht="22.5" customHeight="1" hidden="1">
      <c r="B1" s="347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U1" s="1339" t="s">
        <v>702</v>
      </c>
      <c r="V1" s="996" t="s">
        <v>704</v>
      </c>
      <c r="AC1" s="348"/>
      <c r="AD1" s="348"/>
      <c r="AE1" s="348"/>
      <c r="AF1" s="348"/>
    </row>
    <row r="2" spans="2:22" s="331" customFormat="1" ht="12.75" customHeight="1" hidden="1">
      <c r="B2" s="1764" t="s">
        <v>476</v>
      </c>
      <c r="C2" s="1764"/>
      <c r="D2" s="1764"/>
      <c r="E2" s="1764"/>
      <c r="F2" s="1764"/>
      <c r="G2" s="1764"/>
      <c r="H2" s="1764"/>
      <c r="I2" s="1764"/>
      <c r="J2" s="1764"/>
      <c r="K2" s="1764"/>
      <c r="L2" s="1764"/>
      <c r="M2" s="1764"/>
      <c r="N2" s="1764"/>
      <c r="O2" s="1764"/>
      <c r="P2" s="1764"/>
      <c r="Q2" s="1764"/>
      <c r="R2" s="1764"/>
      <c r="S2" s="1764"/>
      <c r="T2" s="1764"/>
      <c r="U2" s="1764"/>
      <c r="V2" s="1764"/>
    </row>
    <row r="3" spans="1:33" s="331" customFormat="1" ht="22.5" customHeight="1" hidden="1">
      <c r="A3" s="1765" t="s">
        <v>759</v>
      </c>
      <c r="B3" s="1765"/>
      <c r="C3" s="1765"/>
      <c r="D3" s="1765"/>
      <c r="E3" s="1765"/>
      <c r="F3" s="1765"/>
      <c r="G3" s="1765"/>
      <c r="H3" s="1765"/>
      <c r="I3" s="1765"/>
      <c r="J3" s="1765"/>
      <c r="K3" s="1765"/>
      <c r="L3" s="1765"/>
      <c r="M3" s="1765"/>
      <c r="N3" s="1765"/>
      <c r="O3" s="1765"/>
      <c r="P3" s="1765"/>
      <c r="Q3" s="1765"/>
      <c r="R3" s="1765"/>
      <c r="S3" s="1765"/>
      <c r="T3" s="1765"/>
      <c r="U3" s="1765"/>
      <c r="V3" s="1765"/>
      <c r="W3" s="1765"/>
      <c r="X3" s="1765"/>
      <c r="Y3" s="1765"/>
      <c r="Z3" s="1765"/>
      <c r="AA3" s="1765"/>
      <c r="AB3" s="1765"/>
      <c r="AC3" s="1276"/>
      <c r="AD3" s="1276"/>
      <c r="AE3" s="1276"/>
      <c r="AF3" s="1276"/>
      <c r="AG3" s="1276"/>
    </row>
    <row r="4" spans="1:33" s="331" customFormat="1" ht="22.5" customHeight="1">
      <c r="A4" s="1765" t="s">
        <v>1044</v>
      </c>
      <c r="B4" s="1765"/>
      <c r="C4" s="1765"/>
      <c r="D4" s="1765"/>
      <c r="E4" s="1765"/>
      <c r="F4" s="1765"/>
      <c r="G4" s="1765"/>
      <c r="H4" s="1765"/>
      <c r="I4" s="1765"/>
      <c r="J4" s="1765"/>
      <c r="K4" s="1765"/>
      <c r="L4" s="1765"/>
      <c r="M4" s="1765"/>
      <c r="N4" s="1765"/>
      <c r="O4" s="1765"/>
      <c r="P4" s="1765"/>
      <c r="Q4" s="1765"/>
      <c r="R4" s="1765"/>
      <c r="S4" s="1765"/>
      <c r="T4" s="1765"/>
      <c r="U4" s="1765"/>
      <c r="V4" s="1765"/>
      <c r="W4" s="1765"/>
      <c r="X4" s="1765"/>
      <c r="Y4" s="1765"/>
      <c r="Z4" s="1765"/>
      <c r="AA4" s="1765"/>
      <c r="AB4" s="1765"/>
      <c r="AC4" s="1765"/>
      <c r="AD4" s="1765"/>
      <c r="AE4" s="1765"/>
      <c r="AF4" s="1765"/>
      <c r="AG4" s="1765"/>
    </row>
    <row r="5" spans="1:35" ht="15" customHeight="1">
      <c r="A5" s="1766" t="s">
        <v>1046</v>
      </c>
      <c r="B5" s="1766"/>
      <c r="C5" s="1766"/>
      <c r="D5" s="1766"/>
      <c r="E5" s="1766"/>
      <c r="F5" s="1766"/>
      <c r="G5" s="1766"/>
      <c r="H5" s="1766"/>
      <c r="I5" s="1766"/>
      <c r="J5" s="1766"/>
      <c r="K5" s="1766"/>
      <c r="L5" s="1766"/>
      <c r="M5" s="1766"/>
      <c r="N5" s="1766"/>
      <c r="O5" s="1766"/>
      <c r="P5" s="1766"/>
      <c r="Q5" s="1766"/>
      <c r="R5" s="1766"/>
      <c r="S5" s="1766"/>
      <c r="T5" s="1766"/>
      <c r="U5" s="1766"/>
      <c r="V5" s="1766"/>
      <c r="W5" s="1766"/>
      <c r="X5" s="1766"/>
      <c r="Y5" s="1766"/>
      <c r="Z5" s="1766"/>
      <c r="AA5" s="1766"/>
      <c r="AB5" s="1766"/>
      <c r="AC5" s="1766"/>
      <c r="AD5" s="1766"/>
      <c r="AE5" s="1766"/>
      <c r="AF5" s="1766"/>
      <c r="AG5" s="1766"/>
      <c r="AI5" s="558">
        <f>13/17</f>
        <v>0.7647058823529411</v>
      </c>
    </row>
    <row r="6" spans="1:35" ht="16.5">
      <c r="A6" s="1874" t="s">
        <v>1041</v>
      </c>
      <c r="B6" s="1874"/>
      <c r="C6" s="1874"/>
      <c r="D6" s="1874"/>
      <c r="E6" s="1874"/>
      <c r="F6" s="1874"/>
      <c r="G6" s="1874"/>
      <c r="H6" s="1874"/>
      <c r="I6" s="1874"/>
      <c r="J6" s="1874"/>
      <c r="K6" s="1874"/>
      <c r="L6" s="1874"/>
      <c r="M6" s="1874"/>
      <c r="N6" s="1874"/>
      <c r="O6" s="1874"/>
      <c r="P6" s="1874"/>
      <c r="Q6" s="1874"/>
      <c r="R6" s="1874"/>
      <c r="S6" s="1874"/>
      <c r="T6" s="1874"/>
      <c r="U6" s="1874"/>
      <c r="V6" s="1874"/>
      <c r="W6" s="1874"/>
      <c r="X6" s="1874"/>
      <c r="Y6" s="1874"/>
      <c r="Z6" s="1874"/>
      <c r="AA6" s="1874"/>
      <c r="AB6" s="1874"/>
      <c r="AC6" s="1874"/>
      <c r="AD6" s="1874"/>
      <c r="AE6" s="1874"/>
      <c r="AF6" s="1874"/>
      <c r="AG6" s="1874"/>
      <c r="AI6" s="558">
        <f>2/17</f>
        <v>0.11764705882352941</v>
      </c>
    </row>
    <row r="7" spans="1:33" ht="0.75" customHeight="1">
      <c r="A7" s="1875" t="s">
        <v>1023</v>
      </c>
      <c r="B7" s="1875"/>
      <c r="C7" s="1875"/>
      <c r="D7" s="1875"/>
      <c r="E7" s="1875"/>
      <c r="F7" s="1875"/>
      <c r="G7" s="1875"/>
      <c r="H7" s="1875"/>
      <c r="I7" s="1875"/>
      <c r="J7" s="1875"/>
      <c r="K7" s="1875"/>
      <c r="L7" s="1875"/>
      <c r="M7" s="1875"/>
      <c r="N7" s="1875"/>
      <c r="O7" s="1875"/>
      <c r="P7" s="1875"/>
      <c r="Q7" s="1875"/>
      <c r="R7" s="1875"/>
      <c r="S7" s="1875"/>
      <c r="T7" s="1875"/>
      <c r="U7" s="1875"/>
      <c r="V7" s="1875"/>
      <c r="W7" s="1875"/>
      <c r="X7" s="1875"/>
      <c r="Y7" s="1875"/>
      <c r="Z7" s="1875"/>
      <c r="AA7" s="1875"/>
      <c r="AB7" s="1875"/>
      <c r="AC7" s="1340"/>
      <c r="AD7" s="1275"/>
      <c r="AE7" s="1275"/>
      <c r="AF7" s="1275"/>
      <c r="AG7" s="1275"/>
    </row>
    <row r="8" ht="16.5"/>
    <row r="9" spans="1:33" s="1210" customFormat="1" ht="3.75" customHeight="1">
      <c r="A9" s="1867" t="s">
        <v>0</v>
      </c>
      <c r="B9" s="1867" t="s">
        <v>211</v>
      </c>
      <c r="C9" s="1867" t="s">
        <v>104</v>
      </c>
      <c r="D9" s="1867" t="s">
        <v>999</v>
      </c>
      <c r="E9" s="1208" t="s">
        <v>1000</v>
      </c>
      <c r="F9" s="1209"/>
      <c r="G9" s="1209"/>
      <c r="H9" s="1867" t="s">
        <v>1004</v>
      </c>
      <c r="I9" s="1873" t="s">
        <v>808</v>
      </c>
      <c r="J9" s="1873"/>
      <c r="K9" s="1873"/>
      <c r="L9" s="1867" t="s">
        <v>1006</v>
      </c>
      <c r="M9" s="1867" t="s">
        <v>1007</v>
      </c>
      <c r="N9" s="1207"/>
      <c r="O9" s="1865" t="s">
        <v>1033</v>
      </c>
      <c r="P9" s="1870" t="s">
        <v>1034</v>
      </c>
      <c r="Q9" s="1871"/>
      <c r="R9" s="1867"/>
      <c r="S9" s="1867"/>
      <c r="T9" s="1867"/>
      <c r="U9" s="1867"/>
      <c r="V9" s="1867" t="s">
        <v>700</v>
      </c>
      <c r="Y9" s="1867" t="s">
        <v>1022</v>
      </c>
      <c r="Z9" s="1872" t="s">
        <v>1018</v>
      </c>
      <c r="AA9" s="1872"/>
      <c r="AB9" s="1872"/>
      <c r="AC9" s="1865" t="s">
        <v>1036</v>
      </c>
      <c r="AD9" s="1865" t="s">
        <v>1037</v>
      </c>
      <c r="AE9" s="1865" t="s">
        <v>1038</v>
      </c>
      <c r="AF9" s="1865" t="s">
        <v>1039</v>
      </c>
      <c r="AG9" s="1865" t="s">
        <v>1031</v>
      </c>
    </row>
    <row r="10" spans="1:33" s="1210" customFormat="1" ht="57.75" customHeight="1">
      <c r="A10" s="1869" t="s">
        <v>0</v>
      </c>
      <c r="B10" s="1869"/>
      <c r="C10" s="1868"/>
      <c r="D10" s="1868"/>
      <c r="E10" s="1207" t="s">
        <v>1001</v>
      </c>
      <c r="F10" s="1207" t="s">
        <v>1002</v>
      </c>
      <c r="G10" s="1207" t="s">
        <v>1003</v>
      </c>
      <c r="H10" s="1868" t="s">
        <v>1004</v>
      </c>
      <c r="I10" s="1207" t="s">
        <v>1005</v>
      </c>
      <c r="J10" s="1207" t="s">
        <v>1013</v>
      </c>
      <c r="K10" s="1207" t="s">
        <v>1024</v>
      </c>
      <c r="L10" s="1868"/>
      <c r="M10" s="1868"/>
      <c r="N10" s="1211" t="s">
        <v>1021</v>
      </c>
      <c r="O10" s="1866"/>
      <c r="P10" s="1281" t="s">
        <v>1005</v>
      </c>
      <c r="Q10" s="1281" t="s">
        <v>1035</v>
      </c>
      <c r="R10" s="1868" t="s">
        <v>696</v>
      </c>
      <c r="S10" s="1868" t="s">
        <v>697</v>
      </c>
      <c r="T10" s="1868" t="s">
        <v>698</v>
      </c>
      <c r="U10" s="1868" t="s">
        <v>699</v>
      </c>
      <c r="V10" s="1869"/>
      <c r="W10" s="1212" t="s">
        <v>1017</v>
      </c>
      <c r="X10" s="1213"/>
      <c r="Y10" s="1868"/>
      <c r="Z10" s="1207" t="s">
        <v>1014</v>
      </c>
      <c r="AA10" s="1207" t="s">
        <v>1015</v>
      </c>
      <c r="AB10" s="1207" t="s">
        <v>1016</v>
      </c>
      <c r="AC10" s="1866"/>
      <c r="AD10" s="1866"/>
      <c r="AE10" s="1866"/>
      <c r="AF10" s="1866"/>
      <c r="AG10" s="1866"/>
    </row>
    <row r="11" spans="1:33" ht="11.25" customHeight="1" hidden="1">
      <c r="A11" s="1203" t="s">
        <v>3</v>
      </c>
      <c r="B11" s="1203" t="s">
        <v>14</v>
      </c>
      <c r="C11" s="1203" t="s">
        <v>16</v>
      </c>
      <c r="D11" s="1203">
        <v>1</v>
      </c>
      <c r="E11" s="1203"/>
      <c r="F11" s="1203"/>
      <c r="G11" s="1203"/>
      <c r="H11" s="1203"/>
      <c r="I11" s="1203"/>
      <c r="J11" s="1203"/>
      <c r="K11" s="1203"/>
      <c r="L11" s="1203"/>
      <c r="M11" s="1203"/>
      <c r="N11" s="1203"/>
      <c r="O11" s="1203"/>
      <c r="P11" s="1203"/>
      <c r="Q11" s="1203">
        <v>2</v>
      </c>
      <c r="R11" s="1203">
        <v>3</v>
      </c>
      <c r="S11" s="1203">
        <v>4</v>
      </c>
      <c r="T11" s="1203">
        <v>5</v>
      </c>
      <c r="U11" s="1203">
        <v>6</v>
      </c>
      <c r="V11" s="1204">
        <v>7</v>
      </c>
      <c r="W11" s="1203"/>
      <c r="X11" s="1203"/>
      <c r="Y11" s="1088"/>
      <c r="Z11" s="1088"/>
      <c r="AA11" s="1088"/>
      <c r="AB11" s="1088"/>
      <c r="AC11" s="1342"/>
      <c r="AD11" s="1203"/>
      <c r="AE11" s="1203"/>
      <c r="AF11" s="1203"/>
      <c r="AG11" s="1088"/>
    </row>
    <row r="12" spans="1:33" ht="15.75" customHeight="1" hidden="1">
      <c r="A12" s="1203"/>
      <c r="B12" s="1203" t="s">
        <v>3</v>
      </c>
      <c r="C12" s="1203">
        <v>3</v>
      </c>
      <c r="D12" s="1203"/>
      <c r="E12" s="1203"/>
      <c r="F12" s="1203"/>
      <c r="G12" s="1203"/>
      <c r="H12" s="1203">
        <v>4</v>
      </c>
      <c r="I12" s="1203">
        <v>5</v>
      </c>
      <c r="J12" s="1203">
        <v>6</v>
      </c>
      <c r="K12" s="1203">
        <v>7</v>
      </c>
      <c r="L12" s="1203">
        <v>8</v>
      </c>
      <c r="M12" s="1203">
        <v>9</v>
      </c>
      <c r="N12" s="1203"/>
      <c r="O12" s="1203"/>
      <c r="P12" s="1203"/>
      <c r="Q12" s="1203">
        <v>10</v>
      </c>
      <c r="R12" s="1203"/>
      <c r="S12" s="1203"/>
      <c r="T12" s="1203"/>
      <c r="U12" s="1203"/>
      <c r="V12" s="1204"/>
      <c r="W12" s="1203"/>
      <c r="X12" s="1203"/>
      <c r="Y12" s="1203"/>
      <c r="Z12" s="1279" t="s">
        <v>1011</v>
      </c>
      <c r="AA12" s="1279"/>
      <c r="AB12" s="1279" t="s">
        <v>1012</v>
      </c>
      <c r="AC12" s="1342"/>
      <c r="AD12" s="1203"/>
      <c r="AE12" s="1203"/>
      <c r="AF12" s="1203"/>
      <c r="AG12" s="1277"/>
    </row>
    <row r="13" spans="1:33" s="564" customFormat="1" ht="16.5">
      <c r="A13" s="562" t="s">
        <v>29</v>
      </c>
      <c r="B13" s="563" t="s">
        <v>384</v>
      </c>
      <c r="C13" s="1157"/>
      <c r="D13" s="1157"/>
      <c r="E13" s="1157"/>
      <c r="F13" s="1157"/>
      <c r="G13" s="1157"/>
      <c r="H13" s="1157"/>
      <c r="I13" s="1157"/>
      <c r="J13" s="1157"/>
      <c r="K13" s="1157"/>
      <c r="L13" s="1157"/>
      <c r="M13" s="1157"/>
      <c r="N13" s="1157"/>
      <c r="O13" s="1157"/>
      <c r="P13" s="1157"/>
      <c r="Q13" s="1157"/>
      <c r="R13" s="1157"/>
      <c r="S13" s="1157"/>
      <c r="T13" s="1157"/>
      <c r="U13" s="1157"/>
      <c r="V13" s="575"/>
      <c r="W13" s="563"/>
      <c r="X13" s="563"/>
      <c r="Y13" s="563"/>
      <c r="Z13" s="563"/>
      <c r="AA13" s="563"/>
      <c r="AB13" s="563"/>
      <c r="AC13" s="1338"/>
      <c r="AD13" s="1157"/>
      <c r="AE13" s="1157"/>
      <c r="AF13" s="1157"/>
      <c r="AG13" s="563"/>
    </row>
    <row r="14" spans="1:33" s="564" customFormat="1" ht="16.5">
      <c r="A14" s="562">
        <v>1</v>
      </c>
      <c r="B14" s="563" t="s">
        <v>385</v>
      </c>
      <c r="C14" s="1157" t="s">
        <v>293</v>
      </c>
      <c r="D14" s="1158">
        <f aca="true" t="shared" si="0" ref="D14:L14">D16+D17+D19</f>
        <v>2982.75</v>
      </c>
      <c r="E14" s="1158">
        <f t="shared" si="0"/>
        <v>3368.0970549999997</v>
      </c>
      <c r="F14" s="1158">
        <f t="shared" si="0"/>
        <v>3737.3370550000004</v>
      </c>
      <c r="G14" s="1158">
        <f t="shared" si="0"/>
        <v>4308.385055000001</v>
      </c>
      <c r="H14" s="1158">
        <f t="shared" si="0"/>
        <v>4663.185055000001</v>
      </c>
      <c r="I14" s="1158">
        <f t="shared" si="0"/>
        <v>4838.71</v>
      </c>
      <c r="J14" s="1158">
        <f t="shared" si="0"/>
        <v>1959.12</v>
      </c>
      <c r="K14" s="1158">
        <f t="shared" si="0"/>
        <v>5369.049999999999</v>
      </c>
      <c r="L14" s="1158">
        <f t="shared" si="0"/>
        <v>5369.049999999999</v>
      </c>
      <c r="M14" s="1158">
        <f>M16+M17+M19</f>
        <v>8899.83</v>
      </c>
      <c r="N14" s="1158"/>
      <c r="O14" s="1158"/>
      <c r="P14" s="1158">
        <v>5820.05</v>
      </c>
      <c r="Q14" s="1158">
        <f>Q16+Q17+Q19</f>
        <v>5984.9</v>
      </c>
      <c r="R14" s="1158">
        <f aca="true" t="shared" si="1" ref="R14:AC14">R16+R17+R19</f>
        <v>6410.49</v>
      </c>
      <c r="S14" s="1158">
        <f t="shared" si="1"/>
        <v>7352.290000000001</v>
      </c>
      <c r="T14" s="1158">
        <f t="shared" si="1"/>
        <v>8125.269999999999</v>
      </c>
      <c r="U14" s="1158">
        <f t="shared" si="1"/>
        <v>8899.83</v>
      </c>
      <c r="V14" s="1158">
        <f t="shared" si="1"/>
        <v>8899.83</v>
      </c>
      <c r="W14" s="1158">
        <f t="shared" si="1"/>
        <v>0</v>
      </c>
      <c r="X14" s="1158">
        <f t="shared" si="1"/>
        <v>0</v>
      </c>
      <c r="Y14" s="1158">
        <f t="shared" si="1"/>
        <v>0</v>
      </c>
      <c r="Z14" s="1158">
        <f t="shared" si="1"/>
        <v>350.6066037411115</v>
      </c>
      <c r="AA14" s="1158">
        <f t="shared" si="1"/>
        <v>326.4948244626761</v>
      </c>
      <c r="AB14" s="1158">
        <f t="shared" si="1"/>
        <v>335.09342022891934</v>
      </c>
      <c r="AC14" s="1343">
        <f t="shared" si="1"/>
        <v>6440.086499999999</v>
      </c>
      <c r="AD14" s="1199">
        <f>Q14/P14%</f>
        <v>102.83244989304214</v>
      </c>
      <c r="AE14" s="1199"/>
      <c r="AF14" s="1199">
        <f>AC14/Q14%</f>
        <v>107.60558238232886</v>
      </c>
      <c r="AG14" s="576"/>
    </row>
    <row r="15" spans="1:33" ht="16.5">
      <c r="A15" s="561"/>
      <c r="B15" s="567" t="s">
        <v>141</v>
      </c>
      <c r="C15" s="1159"/>
      <c r="D15" s="1159"/>
      <c r="E15" s="1159"/>
      <c r="F15" s="1159"/>
      <c r="G15" s="1159"/>
      <c r="H15" s="1159"/>
      <c r="I15" s="1159"/>
      <c r="J15" s="1159"/>
      <c r="K15" s="1159"/>
      <c r="L15" s="1159"/>
      <c r="M15" s="1159"/>
      <c r="N15" s="1159"/>
      <c r="O15" s="1159"/>
      <c r="P15" s="1159"/>
      <c r="Q15" s="1159"/>
      <c r="R15" s="1159"/>
      <c r="S15" s="1159"/>
      <c r="T15" s="1159"/>
      <c r="U15" s="1159"/>
      <c r="V15" s="1160"/>
      <c r="W15" s="568"/>
      <c r="X15" s="568"/>
      <c r="Y15" s="568"/>
      <c r="Z15" s="1195"/>
      <c r="AA15" s="1195"/>
      <c r="AB15" s="856"/>
      <c r="AC15" s="1344"/>
      <c r="AD15" s="1159"/>
      <c r="AE15" s="1159"/>
      <c r="AF15" s="1159"/>
      <c r="AG15" s="856"/>
    </row>
    <row r="16" spans="1:33" s="572" customFormat="1" ht="16.5">
      <c r="A16" s="569"/>
      <c r="B16" s="570" t="s">
        <v>386</v>
      </c>
      <c r="C16" s="1161" t="s">
        <v>293</v>
      </c>
      <c r="D16" s="1162">
        <f>'[5]BM1 (3)'!D12</f>
        <v>1882.94</v>
      </c>
      <c r="E16" s="1162">
        <f>'[5]BM1 (3)'!F12</f>
        <v>2358.462</v>
      </c>
      <c r="F16" s="1162">
        <f>'[5]BM1 (3)'!G12</f>
        <v>2475.3420000000006</v>
      </c>
      <c r="G16" s="1162">
        <f>'[5]BM1 (3)'!H12</f>
        <v>2545.3900000000003</v>
      </c>
      <c r="H16" s="1162">
        <f>'[5]BM1 (3)'!I12</f>
        <v>2752.4300000000003</v>
      </c>
      <c r="I16" s="1162">
        <v>2681.22</v>
      </c>
      <c r="J16" s="1162">
        <v>984.43</v>
      </c>
      <c r="K16" s="1162">
        <v>3085.45</v>
      </c>
      <c r="L16" s="1162">
        <f>K16</f>
        <v>3085.45</v>
      </c>
      <c r="M16" s="1163">
        <f>V16</f>
        <v>4676.99</v>
      </c>
      <c r="N16" s="1163"/>
      <c r="O16" s="1163"/>
      <c r="P16" s="1255">
        <v>3366.9</v>
      </c>
      <c r="Q16" s="1247">
        <v>3414.9</v>
      </c>
      <c r="R16" s="1247">
        <f>'BM2 a'!E11</f>
        <v>3624.79</v>
      </c>
      <c r="S16" s="1247">
        <f>'BM2 a'!F11</f>
        <v>4114.39</v>
      </c>
      <c r="T16" s="1247">
        <f>'BM2 a'!G11</f>
        <v>4409.019999999999</v>
      </c>
      <c r="U16" s="1247">
        <f>'BM2 a'!H11</f>
        <v>4676.99</v>
      </c>
      <c r="V16" s="1163">
        <f>U16</f>
        <v>4676.99</v>
      </c>
      <c r="W16" s="571"/>
      <c r="X16" s="571"/>
      <c r="Y16" s="571"/>
      <c r="Z16" s="1195">
        <f aca="true" t="shared" si="2" ref="Z16:Z80">(K16/H16)*100</f>
        <v>112.099126953274</v>
      </c>
      <c r="AA16" s="1195">
        <f aca="true" t="shared" si="3" ref="AA16:AA80">(K16/I16)*100</f>
        <v>115.07634584256421</v>
      </c>
      <c r="AB16" s="856">
        <f>(Q16/K16)*100</f>
        <v>110.67753488145978</v>
      </c>
      <c r="AC16" s="1345">
        <v>3645.8</v>
      </c>
      <c r="AD16" s="1163">
        <f>Q16/P16%</f>
        <v>101.42564376726365</v>
      </c>
      <c r="AE16" s="1163"/>
      <c r="AF16" s="1163">
        <f>AC16/Q16%</f>
        <v>106.76154499399689</v>
      </c>
      <c r="AG16" s="856"/>
    </row>
    <row r="17" spans="1:33" s="1130" customFormat="1" ht="16.5">
      <c r="A17" s="1126"/>
      <c r="B17" s="1127" t="s">
        <v>387</v>
      </c>
      <c r="C17" s="1221" t="s">
        <v>293</v>
      </c>
      <c r="D17" s="1271">
        <f>'[5]BM1 (3)'!D13</f>
        <v>598.8</v>
      </c>
      <c r="E17" s="1271">
        <f>'[5]BM1 (3)'!F13</f>
        <v>495.7</v>
      </c>
      <c r="F17" s="1271">
        <f>'[5]BM1 (3)'!G13</f>
        <v>649.4</v>
      </c>
      <c r="G17" s="1271">
        <f>'[5]BM1 (3)'!H13</f>
        <v>961.77</v>
      </c>
      <c r="H17" s="1271">
        <f>'[5]BM1 (3)'!I13</f>
        <v>883.1400000000001</v>
      </c>
      <c r="I17" s="1271">
        <v>981.69</v>
      </c>
      <c r="J17" s="1271">
        <v>453.85</v>
      </c>
      <c r="K17" s="1271">
        <v>1022.9</v>
      </c>
      <c r="L17" s="1271">
        <f>K17</f>
        <v>1022.9</v>
      </c>
      <c r="M17" s="1226">
        <f aca="true" t="shared" si="4" ref="M17:M35">V17</f>
        <v>1860.44</v>
      </c>
      <c r="N17" s="1226"/>
      <c r="O17" s="1226"/>
      <c r="P17" s="1226">
        <v>1099.15</v>
      </c>
      <c r="Q17" s="1387">
        <v>1115</v>
      </c>
      <c r="R17" s="1388">
        <f>'BM3r '!E7</f>
        <v>1232.3000000000002</v>
      </c>
      <c r="S17" s="1388">
        <f>'BM3r '!F7</f>
        <v>1451.9</v>
      </c>
      <c r="T17" s="1388">
        <f>'BM3r '!G7</f>
        <v>1662.55</v>
      </c>
      <c r="U17" s="1388">
        <f>'BM3r '!H7</f>
        <v>1860.44</v>
      </c>
      <c r="V17" s="1389">
        <f>U17</f>
        <v>1860.44</v>
      </c>
      <c r="W17" s="573"/>
      <c r="X17" s="573"/>
      <c r="Y17" s="573"/>
      <c r="Z17" s="1223">
        <f t="shared" si="2"/>
        <v>115.82535045406163</v>
      </c>
      <c r="AA17" s="1223">
        <f t="shared" si="3"/>
        <v>104.19786286913384</v>
      </c>
      <c r="AB17" s="1224">
        <f>(Q17/K17)*100</f>
        <v>109.00381268941246</v>
      </c>
      <c r="AC17" s="1326">
        <v>1232.1865</v>
      </c>
      <c r="AD17" s="1226">
        <f>Q17/P17%</f>
        <v>101.44202338170405</v>
      </c>
      <c r="AE17" s="1226"/>
      <c r="AF17" s="1232">
        <f>AC17/Q17%</f>
        <v>110.51</v>
      </c>
      <c r="AG17" s="1224"/>
    </row>
    <row r="18" spans="1:33" s="1130" customFormat="1" ht="16.5">
      <c r="A18" s="1126"/>
      <c r="B18" s="1127" t="s">
        <v>388</v>
      </c>
      <c r="C18" s="1221" t="s">
        <v>293</v>
      </c>
      <c r="D18" s="1271">
        <f>'[5]BM1 (3)'!D14</f>
        <v>200.93</v>
      </c>
      <c r="E18" s="1271">
        <f>'[5]BM1 (3)'!F14</f>
        <v>200.7</v>
      </c>
      <c r="F18" s="1271">
        <f>'[5]BM1 (3)'!G14</f>
        <v>288.4</v>
      </c>
      <c r="G18" s="1271">
        <f>'[5]BM1 (3)'!H14</f>
        <v>395.46</v>
      </c>
      <c r="H18" s="1271">
        <f>'[5]BM1 (3)'!I14</f>
        <v>572.96</v>
      </c>
      <c r="I18" s="1271">
        <v>604.89</v>
      </c>
      <c r="J18" s="1271">
        <v>318.53</v>
      </c>
      <c r="K18" s="1271">
        <v>637.4</v>
      </c>
      <c r="L18" s="1271">
        <f>K18</f>
        <v>637.4</v>
      </c>
      <c r="M18" s="1226">
        <f t="shared" si="4"/>
        <v>1176.12</v>
      </c>
      <c r="N18" s="1226"/>
      <c r="O18" s="1226"/>
      <c r="P18" s="1226">
        <v>656.95</v>
      </c>
      <c r="Q18" s="1387">
        <v>670</v>
      </c>
      <c r="R18" s="1388">
        <f>'BM3r '!E9</f>
        <v>709.6</v>
      </c>
      <c r="S18" s="1388">
        <f>'BM3r '!F9</f>
        <v>859.32</v>
      </c>
      <c r="T18" s="1388">
        <f>'BM3r '!G9</f>
        <v>1028</v>
      </c>
      <c r="U18" s="1388">
        <f>'BM3r '!H9</f>
        <v>1176.12</v>
      </c>
      <c r="V18" s="1389">
        <f>U18</f>
        <v>1176.12</v>
      </c>
      <c r="W18" s="573"/>
      <c r="X18" s="573"/>
      <c r="Y18" s="573"/>
      <c r="Z18" s="1223">
        <f t="shared" si="2"/>
        <v>111.2468584194359</v>
      </c>
      <c r="AA18" s="1223">
        <f t="shared" si="3"/>
        <v>105.3745309064458</v>
      </c>
      <c r="AB18" s="1224">
        <f>(Q18/K18)*100</f>
        <v>105.11452776906182</v>
      </c>
      <c r="AC18" s="1326">
        <v>709.597</v>
      </c>
      <c r="AD18" s="1226">
        <f>Q18/P18%</f>
        <v>101.98645254585584</v>
      </c>
      <c r="AE18" s="1226"/>
      <c r="AF18" s="1232">
        <f>AC18/Q18%</f>
        <v>105.91</v>
      </c>
      <c r="AG18" s="1224"/>
    </row>
    <row r="19" spans="1:33" s="1130" customFormat="1" ht="14.25" customHeight="1">
      <c r="A19" s="1126"/>
      <c r="B19" s="1127" t="s">
        <v>389</v>
      </c>
      <c r="C19" s="1221" t="s">
        <v>293</v>
      </c>
      <c r="D19" s="1271">
        <f>'[5]BM1 (3)'!D15</f>
        <v>501.01</v>
      </c>
      <c r="E19" s="1271">
        <f>'[5]BM1 (3)'!F15</f>
        <v>513.9350549999999</v>
      </c>
      <c r="F19" s="1271">
        <f>'[5]BM1 (3)'!G15</f>
        <v>612.5950549999999</v>
      </c>
      <c r="G19" s="1271">
        <f>'[5]BM1 (3)'!H15</f>
        <v>801.225055</v>
      </c>
      <c r="H19" s="1271">
        <f>'[5]BM1 (3)'!I15</f>
        <v>1027.615055</v>
      </c>
      <c r="I19" s="1271">
        <v>1175.8</v>
      </c>
      <c r="J19" s="1271">
        <v>520.84</v>
      </c>
      <c r="K19" s="1271">
        <v>1260.7</v>
      </c>
      <c r="L19" s="1271">
        <f>K19</f>
        <v>1260.7</v>
      </c>
      <c r="M19" s="1226">
        <f t="shared" si="4"/>
        <v>2362.4</v>
      </c>
      <c r="N19" s="1226"/>
      <c r="O19" s="1226"/>
      <c r="P19" s="1232">
        <v>1354</v>
      </c>
      <c r="Q19" s="1272">
        <v>1455</v>
      </c>
      <c r="R19" s="1272">
        <f>'BM5 '!F7</f>
        <v>1553.3999999999999</v>
      </c>
      <c r="S19" s="1272">
        <f>'BM5 '!G7</f>
        <v>1786</v>
      </c>
      <c r="T19" s="1272">
        <f>'BM5 '!H7</f>
        <v>2053.7</v>
      </c>
      <c r="U19" s="1272">
        <f>'BM5 '!I7</f>
        <v>2362.4</v>
      </c>
      <c r="V19" s="1390">
        <f>U19</f>
        <v>2362.4</v>
      </c>
      <c r="W19" s="573"/>
      <c r="X19" s="573"/>
      <c r="Y19" s="573"/>
      <c r="Z19" s="1223">
        <f t="shared" si="2"/>
        <v>122.68212633377584</v>
      </c>
      <c r="AA19" s="1223">
        <f t="shared" si="3"/>
        <v>107.22061575097806</v>
      </c>
      <c r="AB19" s="1224">
        <f>(Q19/K19)*100</f>
        <v>115.41207265804712</v>
      </c>
      <c r="AC19" s="1326">
        <v>1562.1</v>
      </c>
      <c r="AD19" s="1391">
        <f>Q19/P19%</f>
        <v>107.45937961595274</v>
      </c>
      <c r="AE19" s="1226"/>
      <c r="AF19" s="1232">
        <f>AC19/Q19%</f>
        <v>107.36082474226804</v>
      </c>
      <c r="AG19" s="1224"/>
    </row>
    <row r="20" spans="1:33" s="564" customFormat="1" ht="16.5" hidden="1">
      <c r="A20" s="562">
        <v>2</v>
      </c>
      <c r="B20" s="575" t="s">
        <v>390</v>
      </c>
      <c r="C20" s="1157"/>
      <c r="D20" s="1243">
        <f>SUM(D21:D23)</f>
        <v>99.999</v>
      </c>
      <c r="E20" s="1243">
        <f aca="true" t="shared" si="5" ref="E20:M20">SUM(E21:E23)</f>
        <v>100</v>
      </c>
      <c r="F20" s="1243">
        <f t="shared" si="5"/>
        <v>100</v>
      </c>
      <c r="G20" s="1243">
        <f t="shared" si="5"/>
        <v>99.99999999999999</v>
      </c>
      <c r="H20" s="1243">
        <f t="shared" si="5"/>
        <v>100</v>
      </c>
      <c r="I20" s="1243">
        <f t="shared" si="5"/>
        <v>99.99999999999999</v>
      </c>
      <c r="J20" s="1243">
        <f t="shared" si="5"/>
        <v>100</v>
      </c>
      <c r="K20" s="1243">
        <f t="shared" si="5"/>
        <v>100</v>
      </c>
      <c r="L20" s="1243">
        <f t="shared" si="5"/>
        <v>100</v>
      </c>
      <c r="M20" s="1243">
        <f t="shared" si="5"/>
        <v>100</v>
      </c>
      <c r="N20" s="1243"/>
      <c r="O20" s="1243"/>
      <c r="P20" s="1243">
        <v>100</v>
      </c>
      <c r="Q20" s="1243">
        <f>SUM(Q21:Q23)</f>
        <v>100.00000000000001</v>
      </c>
      <c r="R20" s="1243">
        <f aca="true" t="shared" si="6" ref="R20:AC20">SUM(R21:R23)</f>
        <v>100</v>
      </c>
      <c r="S20" s="1243">
        <f t="shared" si="6"/>
        <v>100</v>
      </c>
      <c r="T20" s="1243">
        <f t="shared" si="6"/>
        <v>99.99999999999999</v>
      </c>
      <c r="U20" s="1243">
        <f t="shared" si="6"/>
        <v>100</v>
      </c>
      <c r="V20" s="1243">
        <f t="shared" si="6"/>
        <v>100</v>
      </c>
      <c r="W20" s="1243" t="e">
        <f t="shared" si="6"/>
        <v>#DIV/0!</v>
      </c>
      <c r="X20" s="1243" t="e">
        <f t="shared" si="6"/>
        <v>#DIV/0!</v>
      </c>
      <c r="Y20" s="1243" t="e">
        <f t="shared" si="6"/>
        <v>#DIV/0!</v>
      </c>
      <c r="Z20" s="1243">
        <f t="shared" si="6"/>
        <v>100</v>
      </c>
      <c r="AA20" s="1243">
        <f t="shared" si="6"/>
        <v>100</v>
      </c>
      <c r="AB20" s="1243">
        <f t="shared" si="6"/>
        <v>100</v>
      </c>
      <c r="AC20" s="1346">
        <f t="shared" si="6"/>
        <v>100.00000000000001</v>
      </c>
      <c r="AD20" s="1243"/>
      <c r="AE20" s="1243"/>
      <c r="AF20" s="1243"/>
      <c r="AG20" s="576"/>
    </row>
    <row r="21" spans="1:33" s="572" customFormat="1" ht="16.5" hidden="1">
      <c r="A21" s="569"/>
      <c r="B21" s="570" t="s">
        <v>386</v>
      </c>
      <c r="C21" s="1161" t="s">
        <v>6</v>
      </c>
      <c r="D21" s="1167">
        <f aca="true" t="shared" si="7" ref="D21:K21">D16/D14*100</f>
        <v>63.127650657949886</v>
      </c>
      <c r="E21" s="1167">
        <f t="shared" si="7"/>
        <v>70.02357596847814</v>
      </c>
      <c r="F21" s="1167">
        <f t="shared" si="7"/>
        <v>66.23277385935425</v>
      </c>
      <c r="G21" s="1167">
        <f t="shared" si="7"/>
        <v>59.07990969948251</v>
      </c>
      <c r="H21" s="1167">
        <f t="shared" si="7"/>
        <v>59.02467878791913</v>
      </c>
      <c r="I21" s="1167">
        <f t="shared" si="7"/>
        <v>55.411876305874905</v>
      </c>
      <c r="J21" s="1167">
        <f t="shared" si="7"/>
        <v>50.24858099554902</v>
      </c>
      <c r="K21" s="1167">
        <f t="shared" si="7"/>
        <v>57.46733593466256</v>
      </c>
      <c r="L21" s="1167">
        <f>K21</f>
        <v>57.46733593466256</v>
      </c>
      <c r="M21" s="1169">
        <f t="shared" si="4"/>
        <v>52.551453230005514</v>
      </c>
      <c r="N21" s="1169"/>
      <c r="O21" s="1169"/>
      <c r="P21" s="1163">
        <v>57.850018470631696</v>
      </c>
      <c r="Q21" s="1244">
        <f>Q16/Q14%</f>
        <v>57.05859747030026</v>
      </c>
      <c r="R21" s="1244">
        <f aca="true" t="shared" si="8" ref="R21:AB21">R16/R14%</f>
        <v>56.544663512461604</v>
      </c>
      <c r="S21" s="1244">
        <f t="shared" si="8"/>
        <v>55.96065987603862</v>
      </c>
      <c r="T21" s="1244">
        <f t="shared" si="8"/>
        <v>54.26305833529223</v>
      </c>
      <c r="U21" s="1244">
        <f t="shared" si="8"/>
        <v>52.551453230005514</v>
      </c>
      <c r="V21" s="1244">
        <f t="shared" si="8"/>
        <v>52.551453230005514</v>
      </c>
      <c r="W21" s="1244" t="e">
        <f t="shared" si="8"/>
        <v>#DIV/0!</v>
      </c>
      <c r="X21" s="1244" t="e">
        <f t="shared" si="8"/>
        <v>#DIV/0!</v>
      </c>
      <c r="Y21" s="1244" t="e">
        <f t="shared" si="8"/>
        <v>#DIV/0!</v>
      </c>
      <c r="Z21" s="1244">
        <f t="shared" si="8"/>
        <v>31.972908027724483</v>
      </c>
      <c r="AA21" s="1244">
        <f t="shared" si="8"/>
        <v>35.24599387814167</v>
      </c>
      <c r="AB21" s="1244">
        <f t="shared" si="8"/>
        <v>33.02885947621721</v>
      </c>
      <c r="AC21" s="1347">
        <f>AC16/AC14%</f>
        <v>56.6110408610195</v>
      </c>
      <c r="AD21" s="1163"/>
      <c r="AE21" s="1169"/>
      <c r="AF21" s="1163"/>
      <c r="AG21" s="856"/>
    </row>
    <row r="22" spans="1:33" ht="16.5" hidden="1">
      <c r="A22" s="561"/>
      <c r="B22" s="567" t="s">
        <v>387</v>
      </c>
      <c r="C22" s="1159" t="s">
        <v>6</v>
      </c>
      <c r="D22" s="1167">
        <f>(D17/D14)*100-0.001</f>
        <v>20.07443374402816</v>
      </c>
      <c r="E22" s="1167">
        <f aca="true" t="shared" si="9" ref="E22:K22">(E17/E14)*100</f>
        <v>14.71750938008525</v>
      </c>
      <c r="F22" s="1167">
        <f t="shared" si="9"/>
        <v>17.376008383594932</v>
      </c>
      <c r="G22" s="1167">
        <f t="shared" si="9"/>
        <v>22.323213633930866</v>
      </c>
      <c r="H22" s="1167">
        <f t="shared" si="9"/>
        <v>18.93855786514567</v>
      </c>
      <c r="I22" s="1167">
        <f t="shared" si="9"/>
        <v>20.288258647449425</v>
      </c>
      <c r="J22" s="1167">
        <f t="shared" si="9"/>
        <v>23.166013312099313</v>
      </c>
      <c r="K22" s="1167">
        <f t="shared" si="9"/>
        <v>19.051787560182902</v>
      </c>
      <c r="L22" s="1167">
        <f>K22</f>
        <v>19.051787560182902</v>
      </c>
      <c r="M22" s="1169">
        <f t="shared" si="4"/>
        <v>20.9042195187998</v>
      </c>
      <c r="N22" s="1169"/>
      <c r="O22" s="1169"/>
      <c r="P22" s="1163">
        <v>18.885576584393608</v>
      </c>
      <c r="Q22" s="1201">
        <f>Q17/Q14%</f>
        <v>18.63021938545339</v>
      </c>
      <c r="R22" s="1244">
        <f aca="true" t="shared" si="10" ref="R22:AC22">R17/R14%</f>
        <v>19.223179507338756</v>
      </c>
      <c r="S22" s="1244">
        <f t="shared" si="10"/>
        <v>19.747588846468243</v>
      </c>
      <c r="T22" s="1244">
        <f t="shared" si="10"/>
        <v>20.4614738956367</v>
      </c>
      <c r="U22" s="1244">
        <f t="shared" si="10"/>
        <v>20.9042195187998</v>
      </c>
      <c r="V22" s="1244">
        <f t="shared" si="10"/>
        <v>20.9042195187998</v>
      </c>
      <c r="W22" s="1244" t="e">
        <f t="shared" si="10"/>
        <v>#DIV/0!</v>
      </c>
      <c r="X22" s="1244" t="e">
        <f t="shared" si="10"/>
        <v>#DIV/0!</v>
      </c>
      <c r="Y22" s="1244" t="e">
        <f t="shared" si="10"/>
        <v>#DIV/0!</v>
      </c>
      <c r="Z22" s="1244">
        <f t="shared" si="10"/>
        <v>33.03570132968382</v>
      </c>
      <c r="AA22" s="1244">
        <f t="shared" si="10"/>
        <v>31.914093290947534</v>
      </c>
      <c r="AB22" s="1244">
        <f t="shared" si="10"/>
        <v>32.52938019939228</v>
      </c>
      <c r="AC22" s="1347">
        <f t="shared" si="10"/>
        <v>19.133073756074552</v>
      </c>
      <c r="AD22" s="1163"/>
      <c r="AE22" s="1169"/>
      <c r="AF22" s="1163"/>
      <c r="AG22" s="856"/>
    </row>
    <row r="23" spans="1:33" ht="16.5" hidden="1">
      <c r="A23" s="561"/>
      <c r="B23" s="567" t="s">
        <v>389</v>
      </c>
      <c r="C23" s="1159" t="s">
        <v>6</v>
      </c>
      <c r="D23" s="1167">
        <f aca="true" t="shared" si="11" ref="D23:K23">(D19/D14)*100</f>
        <v>16.796915598021958</v>
      </c>
      <c r="E23" s="1167">
        <f t="shared" si="11"/>
        <v>15.258914651436609</v>
      </c>
      <c r="F23" s="1167">
        <f t="shared" si="11"/>
        <v>16.39121775705081</v>
      </c>
      <c r="G23" s="1167">
        <f t="shared" si="11"/>
        <v>18.596876666586613</v>
      </c>
      <c r="H23" s="1167">
        <f t="shared" si="11"/>
        <v>22.036763346935196</v>
      </c>
      <c r="I23" s="1167">
        <f t="shared" si="11"/>
        <v>24.299865046675663</v>
      </c>
      <c r="J23" s="1167">
        <f t="shared" si="11"/>
        <v>26.58540569235167</v>
      </c>
      <c r="K23" s="1167">
        <f t="shared" si="11"/>
        <v>23.480876505154548</v>
      </c>
      <c r="L23" s="1167">
        <f>K23</f>
        <v>23.480876505154548</v>
      </c>
      <c r="M23" s="1169">
        <f t="shared" si="4"/>
        <v>26.544327251194687</v>
      </c>
      <c r="N23" s="1169"/>
      <c r="O23" s="1169"/>
      <c r="P23" s="1163">
        <v>23.264404944974697</v>
      </c>
      <c r="Q23" s="1244">
        <f>Q19/Q14%</f>
        <v>24.311183144246353</v>
      </c>
      <c r="R23" s="1244">
        <f aca="true" t="shared" si="12" ref="R23:AC23">R19/R14%</f>
        <v>24.23215698019964</v>
      </c>
      <c r="S23" s="1244">
        <f t="shared" si="12"/>
        <v>24.291751277493134</v>
      </c>
      <c r="T23" s="1244">
        <f t="shared" si="12"/>
        <v>25.27546776907106</v>
      </c>
      <c r="U23" s="1244">
        <f t="shared" si="12"/>
        <v>26.544327251194687</v>
      </c>
      <c r="V23" s="1244">
        <f t="shared" si="12"/>
        <v>26.544327251194687</v>
      </c>
      <c r="W23" s="1244" t="e">
        <f t="shared" si="12"/>
        <v>#DIV/0!</v>
      </c>
      <c r="X23" s="1244" t="e">
        <f t="shared" si="12"/>
        <v>#DIV/0!</v>
      </c>
      <c r="Y23" s="1244" t="e">
        <f t="shared" si="12"/>
        <v>#DIV/0!</v>
      </c>
      <c r="Z23" s="1244">
        <f t="shared" si="12"/>
        <v>34.991390642591696</v>
      </c>
      <c r="AA23" s="1244">
        <f t="shared" si="12"/>
        <v>32.8399128309108</v>
      </c>
      <c r="AB23" s="1244">
        <f t="shared" si="12"/>
        <v>34.441760324390515</v>
      </c>
      <c r="AC23" s="1347">
        <f t="shared" si="12"/>
        <v>24.25588538290596</v>
      </c>
      <c r="AD23" s="1163"/>
      <c r="AE23" s="1169"/>
      <c r="AF23" s="1163"/>
      <c r="AG23" s="856"/>
    </row>
    <row r="24" spans="1:33" ht="16.5" hidden="1">
      <c r="A24" s="386">
        <v>3</v>
      </c>
      <c r="B24" s="387" t="s">
        <v>773</v>
      </c>
      <c r="C24" s="1348"/>
      <c r="D24" s="1159"/>
      <c r="E24" s="1159"/>
      <c r="F24" s="1159"/>
      <c r="G24" s="1159"/>
      <c r="H24" s="1159"/>
      <c r="I24" s="1159"/>
      <c r="J24" s="1159"/>
      <c r="K24" s="1159"/>
      <c r="L24" s="1159"/>
      <c r="M24" s="1163">
        <f t="shared" si="4"/>
        <v>0</v>
      </c>
      <c r="N24" s="1163"/>
      <c r="O24" s="1163"/>
      <c r="P24" s="1163"/>
      <c r="Q24" s="1159"/>
      <c r="R24" s="1159"/>
      <c r="S24" s="1159"/>
      <c r="T24" s="1159"/>
      <c r="U24" s="1159"/>
      <c r="V24" s="1160"/>
      <c r="W24" s="568"/>
      <c r="X24" s="568"/>
      <c r="Y24" s="568"/>
      <c r="Z24" s="1195" t="e">
        <f t="shared" si="2"/>
        <v>#DIV/0!</v>
      </c>
      <c r="AA24" s="1195" t="e">
        <f t="shared" si="3"/>
        <v>#DIV/0!</v>
      </c>
      <c r="AB24" s="856" t="e">
        <f aca="true" t="shared" si="13" ref="AB24:AB35">(Q24/K24)*100</f>
        <v>#DIV/0!</v>
      </c>
      <c r="AC24" s="1349"/>
      <c r="AD24" s="1163"/>
      <c r="AE24" s="1163"/>
      <c r="AF24" s="1163"/>
      <c r="AG24" s="856"/>
    </row>
    <row r="25" spans="1:33" ht="16.5" hidden="1">
      <c r="A25" s="386"/>
      <c r="B25" s="390" t="s">
        <v>136</v>
      </c>
      <c r="C25" s="1350"/>
      <c r="D25" s="1159"/>
      <c r="E25" s="1159"/>
      <c r="F25" s="1159"/>
      <c r="G25" s="1159"/>
      <c r="H25" s="1159"/>
      <c r="I25" s="1159"/>
      <c r="J25" s="1159"/>
      <c r="K25" s="1159"/>
      <c r="L25" s="1159"/>
      <c r="M25" s="1163">
        <f t="shared" si="4"/>
        <v>0</v>
      </c>
      <c r="N25" s="1163"/>
      <c r="O25" s="1163"/>
      <c r="P25" s="1163"/>
      <c r="Q25" s="1159"/>
      <c r="R25" s="1159"/>
      <c r="S25" s="1159"/>
      <c r="T25" s="1159"/>
      <c r="U25" s="1159"/>
      <c r="V25" s="1160"/>
      <c r="W25" s="568"/>
      <c r="X25" s="568"/>
      <c r="Y25" s="568"/>
      <c r="Z25" s="1195" t="e">
        <f t="shared" si="2"/>
        <v>#DIV/0!</v>
      </c>
      <c r="AA25" s="1195" t="e">
        <f t="shared" si="3"/>
        <v>#DIV/0!</v>
      </c>
      <c r="AB25" s="856" t="e">
        <f t="shared" si="13"/>
        <v>#DIV/0!</v>
      </c>
      <c r="AC25" s="1349"/>
      <c r="AD25" s="1163"/>
      <c r="AE25" s="1163"/>
      <c r="AF25" s="1163"/>
      <c r="AG25" s="856"/>
    </row>
    <row r="26" spans="1:33" ht="16.5" hidden="1">
      <c r="A26" s="386"/>
      <c r="B26" s="392" t="s">
        <v>761</v>
      </c>
      <c r="C26" s="1350" t="s">
        <v>213</v>
      </c>
      <c r="D26" s="1159"/>
      <c r="E26" s="1159"/>
      <c r="F26" s="1159"/>
      <c r="G26" s="1159"/>
      <c r="H26" s="1159"/>
      <c r="I26" s="1159"/>
      <c r="J26" s="1159"/>
      <c r="K26" s="1159"/>
      <c r="L26" s="1159"/>
      <c r="M26" s="1163">
        <f t="shared" si="4"/>
        <v>0</v>
      </c>
      <c r="N26" s="1163"/>
      <c r="O26" s="1163"/>
      <c r="P26" s="1163"/>
      <c r="Q26" s="1159"/>
      <c r="R26" s="1159"/>
      <c r="S26" s="1159"/>
      <c r="T26" s="1159"/>
      <c r="U26" s="1159"/>
      <c r="V26" s="1160"/>
      <c r="W26" s="568"/>
      <c r="X26" s="568"/>
      <c r="Y26" s="568"/>
      <c r="Z26" s="1195" t="e">
        <f t="shared" si="2"/>
        <v>#DIV/0!</v>
      </c>
      <c r="AA26" s="1195" t="e">
        <f t="shared" si="3"/>
        <v>#DIV/0!</v>
      </c>
      <c r="AB26" s="856" t="e">
        <f t="shared" si="13"/>
        <v>#DIV/0!</v>
      </c>
      <c r="AC26" s="1349"/>
      <c r="AD26" s="1163"/>
      <c r="AE26" s="1163"/>
      <c r="AF26" s="1163"/>
      <c r="AG26" s="856"/>
    </row>
    <row r="27" spans="1:33" ht="16.5" hidden="1">
      <c r="A27" s="386"/>
      <c r="B27" s="392" t="s">
        <v>762</v>
      </c>
      <c r="C27" s="1350" t="s">
        <v>213</v>
      </c>
      <c r="D27" s="1159"/>
      <c r="E27" s="1159"/>
      <c r="F27" s="1159"/>
      <c r="G27" s="1159"/>
      <c r="H27" s="1159"/>
      <c r="I27" s="1159"/>
      <c r="J27" s="1159"/>
      <c r="K27" s="1159"/>
      <c r="L27" s="1159"/>
      <c r="M27" s="1163">
        <f t="shared" si="4"/>
        <v>0</v>
      </c>
      <c r="N27" s="1163"/>
      <c r="O27" s="1163"/>
      <c r="P27" s="1163"/>
      <c r="Q27" s="1159"/>
      <c r="R27" s="1159"/>
      <c r="S27" s="1159"/>
      <c r="T27" s="1159"/>
      <c r="U27" s="1159"/>
      <c r="V27" s="1160"/>
      <c r="W27" s="568"/>
      <c r="X27" s="568"/>
      <c r="Y27" s="568"/>
      <c r="Z27" s="1195" t="e">
        <f t="shared" si="2"/>
        <v>#DIV/0!</v>
      </c>
      <c r="AA27" s="1195" t="e">
        <f t="shared" si="3"/>
        <v>#DIV/0!</v>
      </c>
      <c r="AB27" s="856" t="e">
        <f t="shared" si="13"/>
        <v>#DIV/0!</v>
      </c>
      <c r="AC27" s="1349"/>
      <c r="AD27" s="1163"/>
      <c r="AE27" s="1163"/>
      <c r="AF27" s="1163"/>
      <c r="AG27" s="856"/>
    </row>
    <row r="28" spans="1:33" ht="16.5" hidden="1">
      <c r="A28" s="386"/>
      <c r="B28" s="392" t="s">
        <v>763</v>
      </c>
      <c r="C28" s="1350" t="s">
        <v>213</v>
      </c>
      <c r="D28" s="1159"/>
      <c r="E28" s="1159"/>
      <c r="F28" s="1159"/>
      <c r="G28" s="1159"/>
      <c r="H28" s="1159"/>
      <c r="I28" s="1159"/>
      <c r="J28" s="1159"/>
      <c r="K28" s="1159"/>
      <c r="L28" s="1159"/>
      <c r="M28" s="1163">
        <f t="shared" si="4"/>
        <v>0</v>
      </c>
      <c r="N28" s="1163"/>
      <c r="O28" s="1163"/>
      <c r="P28" s="1163"/>
      <c r="Q28" s="1159"/>
      <c r="R28" s="1159"/>
      <c r="S28" s="1159"/>
      <c r="T28" s="1159"/>
      <c r="U28" s="1159"/>
      <c r="V28" s="1160"/>
      <c r="W28" s="568"/>
      <c r="X28" s="568"/>
      <c r="Y28" s="568"/>
      <c r="Z28" s="1195" t="e">
        <f t="shared" si="2"/>
        <v>#DIV/0!</v>
      </c>
      <c r="AA28" s="1195" t="e">
        <f t="shared" si="3"/>
        <v>#DIV/0!</v>
      </c>
      <c r="AB28" s="856" t="e">
        <f t="shared" si="13"/>
        <v>#DIV/0!</v>
      </c>
      <c r="AC28" s="1349"/>
      <c r="AD28" s="1163"/>
      <c r="AE28" s="1163"/>
      <c r="AF28" s="1163"/>
      <c r="AG28" s="856"/>
    </row>
    <row r="29" spans="1:33" ht="16.5" hidden="1">
      <c r="A29" s="386">
        <v>4</v>
      </c>
      <c r="B29" s="387" t="s">
        <v>764</v>
      </c>
      <c r="C29" s="1350"/>
      <c r="D29" s="1159"/>
      <c r="E29" s="1159"/>
      <c r="F29" s="1159"/>
      <c r="G29" s="1159"/>
      <c r="H29" s="1159"/>
      <c r="I29" s="1159"/>
      <c r="J29" s="1159"/>
      <c r="K29" s="1159"/>
      <c r="L29" s="1159"/>
      <c r="M29" s="1163">
        <f t="shared" si="4"/>
        <v>0</v>
      </c>
      <c r="N29" s="1163"/>
      <c r="O29" s="1163"/>
      <c r="P29" s="1163"/>
      <c r="Q29" s="1159"/>
      <c r="R29" s="1159"/>
      <c r="S29" s="1159"/>
      <c r="T29" s="1159"/>
      <c r="U29" s="1159"/>
      <c r="V29" s="1160"/>
      <c r="W29" s="568"/>
      <c r="X29" s="568"/>
      <c r="Y29" s="568"/>
      <c r="Z29" s="1195" t="e">
        <f t="shared" si="2"/>
        <v>#DIV/0!</v>
      </c>
      <c r="AA29" s="1195" t="e">
        <f t="shared" si="3"/>
        <v>#DIV/0!</v>
      </c>
      <c r="AB29" s="856" t="e">
        <f t="shared" si="13"/>
        <v>#DIV/0!</v>
      </c>
      <c r="AC29" s="1349"/>
      <c r="AD29" s="1163"/>
      <c r="AE29" s="1163"/>
      <c r="AF29" s="1163"/>
      <c r="AG29" s="856"/>
    </row>
    <row r="30" spans="1:33" ht="16.5" hidden="1">
      <c r="A30" s="389"/>
      <c r="B30" s="392" t="s">
        <v>765</v>
      </c>
      <c r="C30" s="1350" t="s">
        <v>766</v>
      </c>
      <c r="D30" s="1159"/>
      <c r="E30" s="1159"/>
      <c r="F30" s="1159"/>
      <c r="G30" s="1159"/>
      <c r="H30" s="1159"/>
      <c r="I30" s="1159"/>
      <c r="J30" s="1159"/>
      <c r="K30" s="1159"/>
      <c r="L30" s="1159"/>
      <c r="M30" s="1163">
        <f t="shared" si="4"/>
        <v>0</v>
      </c>
      <c r="N30" s="1163"/>
      <c r="O30" s="1163"/>
      <c r="P30" s="1163"/>
      <c r="Q30" s="1159"/>
      <c r="R30" s="1159"/>
      <c r="S30" s="1159"/>
      <c r="T30" s="1159"/>
      <c r="U30" s="1159"/>
      <c r="V30" s="1160"/>
      <c r="W30" s="568"/>
      <c r="X30" s="568"/>
      <c r="Y30" s="568"/>
      <c r="Z30" s="1195" t="e">
        <f t="shared" si="2"/>
        <v>#DIV/0!</v>
      </c>
      <c r="AA30" s="1195" t="e">
        <f t="shared" si="3"/>
        <v>#DIV/0!</v>
      </c>
      <c r="AB30" s="856" t="e">
        <f t="shared" si="13"/>
        <v>#DIV/0!</v>
      </c>
      <c r="AC30" s="1349"/>
      <c r="AD30" s="1163"/>
      <c r="AE30" s="1163"/>
      <c r="AF30" s="1163"/>
      <c r="AG30" s="856"/>
    </row>
    <row r="31" spans="1:33" ht="16.5" hidden="1">
      <c r="A31" s="389"/>
      <c r="B31" s="392" t="s">
        <v>767</v>
      </c>
      <c r="C31" s="1350" t="s">
        <v>768</v>
      </c>
      <c r="D31" s="1159"/>
      <c r="E31" s="1159"/>
      <c r="F31" s="1159"/>
      <c r="G31" s="1159"/>
      <c r="H31" s="1159"/>
      <c r="I31" s="1159"/>
      <c r="J31" s="1159"/>
      <c r="K31" s="1159"/>
      <c r="L31" s="1159"/>
      <c r="M31" s="1163">
        <f t="shared" si="4"/>
        <v>0</v>
      </c>
      <c r="N31" s="1163"/>
      <c r="O31" s="1163"/>
      <c r="P31" s="1163"/>
      <c r="Q31" s="1159"/>
      <c r="R31" s="1159"/>
      <c r="S31" s="1159"/>
      <c r="T31" s="1159"/>
      <c r="U31" s="1159"/>
      <c r="V31" s="1160"/>
      <c r="W31" s="568"/>
      <c r="X31" s="568"/>
      <c r="Y31" s="568"/>
      <c r="Z31" s="1195" t="e">
        <f t="shared" si="2"/>
        <v>#DIV/0!</v>
      </c>
      <c r="AA31" s="1195" t="e">
        <f t="shared" si="3"/>
        <v>#DIV/0!</v>
      </c>
      <c r="AB31" s="856" t="e">
        <f t="shared" si="13"/>
        <v>#DIV/0!</v>
      </c>
      <c r="AC31" s="1349"/>
      <c r="AD31" s="1163"/>
      <c r="AE31" s="1163"/>
      <c r="AF31" s="1163"/>
      <c r="AG31" s="856"/>
    </row>
    <row r="32" spans="1:33" ht="16.5" hidden="1">
      <c r="A32" s="389"/>
      <c r="B32" s="392" t="s">
        <v>769</v>
      </c>
      <c r="C32" s="1350" t="s">
        <v>770</v>
      </c>
      <c r="D32" s="1159"/>
      <c r="E32" s="1159"/>
      <c r="F32" s="1159"/>
      <c r="G32" s="1159"/>
      <c r="H32" s="1159"/>
      <c r="I32" s="1159"/>
      <c r="J32" s="1159"/>
      <c r="K32" s="1159"/>
      <c r="L32" s="1159"/>
      <c r="M32" s="1163">
        <f t="shared" si="4"/>
        <v>0</v>
      </c>
      <c r="N32" s="1163"/>
      <c r="O32" s="1163"/>
      <c r="P32" s="1163"/>
      <c r="Q32" s="1159"/>
      <c r="R32" s="1159"/>
      <c r="S32" s="1159"/>
      <c r="T32" s="1159"/>
      <c r="U32" s="1159"/>
      <c r="V32" s="1160"/>
      <c r="W32" s="568"/>
      <c r="X32" s="568"/>
      <c r="Y32" s="568"/>
      <c r="Z32" s="1195" t="e">
        <f t="shared" si="2"/>
        <v>#DIV/0!</v>
      </c>
      <c r="AA32" s="1195" t="e">
        <f t="shared" si="3"/>
        <v>#DIV/0!</v>
      </c>
      <c r="AB32" s="856" t="e">
        <f t="shared" si="13"/>
        <v>#DIV/0!</v>
      </c>
      <c r="AC32" s="1349"/>
      <c r="AD32" s="1163"/>
      <c r="AE32" s="1163"/>
      <c r="AF32" s="1163"/>
      <c r="AG32" s="856"/>
    </row>
    <row r="33" spans="1:33" ht="16.5" hidden="1">
      <c r="A33" s="561">
        <v>5</v>
      </c>
      <c r="B33" s="387" t="s">
        <v>771</v>
      </c>
      <c r="C33" s="1350" t="s">
        <v>213</v>
      </c>
      <c r="D33" s="1159"/>
      <c r="E33" s="1159"/>
      <c r="F33" s="1159"/>
      <c r="G33" s="1159"/>
      <c r="H33" s="1159"/>
      <c r="I33" s="1159"/>
      <c r="J33" s="1159"/>
      <c r="K33" s="1159"/>
      <c r="L33" s="1159"/>
      <c r="M33" s="1163">
        <f t="shared" si="4"/>
        <v>0</v>
      </c>
      <c r="N33" s="1163"/>
      <c r="O33" s="1163"/>
      <c r="P33" s="1163"/>
      <c r="Q33" s="1159"/>
      <c r="R33" s="1159"/>
      <c r="S33" s="1159"/>
      <c r="T33" s="1159"/>
      <c r="U33" s="1159"/>
      <c r="V33" s="1160"/>
      <c r="W33" s="568"/>
      <c r="X33" s="568"/>
      <c r="Y33" s="568"/>
      <c r="Z33" s="1195" t="e">
        <f t="shared" si="2"/>
        <v>#DIV/0!</v>
      </c>
      <c r="AA33" s="1195" t="e">
        <f t="shared" si="3"/>
        <v>#DIV/0!</v>
      </c>
      <c r="AB33" s="856" t="e">
        <f t="shared" si="13"/>
        <v>#DIV/0!</v>
      </c>
      <c r="AC33" s="1349"/>
      <c r="AD33" s="1163"/>
      <c r="AE33" s="1163"/>
      <c r="AF33" s="1163"/>
      <c r="AG33" s="856"/>
    </row>
    <row r="34" spans="1:33" ht="33" hidden="1">
      <c r="A34" s="561">
        <v>6</v>
      </c>
      <c r="B34" s="387" t="s">
        <v>772</v>
      </c>
      <c r="C34" s="1350" t="s">
        <v>213</v>
      </c>
      <c r="D34" s="1159"/>
      <c r="E34" s="1159"/>
      <c r="F34" s="1159"/>
      <c r="G34" s="1159"/>
      <c r="H34" s="1159"/>
      <c r="I34" s="1159"/>
      <c r="J34" s="1159"/>
      <c r="K34" s="1159"/>
      <c r="L34" s="1159"/>
      <c r="M34" s="1163">
        <f t="shared" si="4"/>
        <v>0</v>
      </c>
      <c r="N34" s="1163"/>
      <c r="O34" s="1163"/>
      <c r="P34" s="1163"/>
      <c r="Q34" s="1159"/>
      <c r="R34" s="1159"/>
      <c r="S34" s="1159"/>
      <c r="T34" s="1159"/>
      <c r="U34" s="1159"/>
      <c r="V34" s="1160"/>
      <c r="W34" s="568"/>
      <c r="X34" s="568"/>
      <c r="Y34" s="568"/>
      <c r="Z34" s="1195" t="e">
        <f t="shared" si="2"/>
        <v>#DIV/0!</v>
      </c>
      <c r="AA34" s="1195" t="e">
        <f t="shared" si="3"/>
        <v>#DIV/0!</v>
      </c>
      <c r="AB34" s="856" t="e">
        <f t="shared" si="13"/>
        <v>#DIV/0!</v>
      </c>
      <c r="AC34" s="1349"/>
      <c r="AD34" s="1163"/>
      <c r="AE34" s="1163"/>
      <c r="AF34" s="1163"/>
      <c r="AG34" s="856"/>
    </row>
    <row r="35" spans="1:33" s="1218" customFormat="1" ht="17.25" customHeight="1">
      <c r="A35" s="1214">
        <v>3</v>
      </c>
      <c r="B35" s="1215" t="s">
        <v>391</v>
      </c>
      <c r="C35" s="1216" t="s">
        <v>293</v>
      </c>
      <c r="D35" s="1273">
        <f>'[5]BM1 (3)'!D29</f>
        <v>477.94</v>
      </c>
      <c r="E35" s="1273">
        <f>'[5]BM1 (3)'!F29</f>
        <v>495.52</v>
      </c>
      <c r="F35" s="1273">
        <f>'[5]BM1 (3)'!G29</f>
        <v>589.03</v>
      </c>
      <c r="G35" s="1273">
        <f>'[5]BM1 (3)'!H29</f>
        <v>773.21</v>
      </c>
      <c r="H35" s="1273">
        <f>'[5]BM1 (3)'!I29</f>
        <v>998.5</v>
      </c>
      <c r="I35" s="1273">
        <v>1006.33</v>
      </c>
      <c r="J35" s="1273">
        <v>520.84</v>
      </c>
      <c r="K35" s="1273">
        <v>1029.9</v>
      </c>
      <c r="L35" s="1273">
        <f>K35</f>
        <v>1029.9</v>
      </c>
      <c r="M35" s="1392">
        <f t="shared" si="4"/>
        <v>2286.1</v>
      </c>
      <c r="N35" s="1392"/>
      <c r="O35" s="1392"/>
      <c r="P35" s="1393">
        <v>1078.7</v>
      </c>
      <c r="Q35" s="1233">
        <v>1400</v>
      </c>
      <c r="R35" s="1273">
        <f>'BM5 '!F9</f>
        <v>1501.3</v>
      </c>
      <c r="S35" s="1273">
        <f>'BM5 '!G9</f>
        <v>1726.7</v>
      </c>
      <c r="T35" s="1273">
        <f>'BM5 '!H9</f>
        <v>1986.6</v>
      </c>
      <c r="U35" s="1273">
        <f>'BM5 '!I9</f>
        <v>2286.1</v>
      </c>
      <c r="V35" s="1230">
        <f>U35</f>
        <v>2286.1</v>
      </c>
      <c r="W35" s="579"/>
      <c r="X35" s="579"/>
      <c r="Y35" s="579"/>
      <c r="Z35" s="1219">
        <f t="shared" si="2"/>
        <v>103.14471707561343</v>
      </c>
      <c r="AA35" s="1219">
        <f t="shared" si="3"/>
        <v>102.34217403833732</v>
      </c>
      <c r="AB35" s="1220">
        <f t="shared" si="13"/>
        <v>135.93552772113796</v>
      </c>
      <c r="AC35" s="1438">
        <v>1501.3</v>
      </c>
      <c r="AD35" s="1393">
        <f>Q35/P35%</f>
        <v>129.7858533419857</v>
      </c>
      <c r="AE35" s="1392"/>
      <c r="AF35" s="1393">
        <f>AC35/Q35%</f>
        <v>107.23571428571428</v>
      </c>
      <c r="AG35" s="1220"/>
    </row>
    <row r="36" spans="1:33" s="564" customFormat="1" ht="17.25" customHeight="1">
      <c r="A36" s="562">
        <v>4</v>
      </c>
      <c r="B36" s="563" t="s">
        <v>973</v>
      </c>
      <c r="C36" s="1157"/>
      <c r="D36" s="1158" t="e">
        <f>'[5]BM1 (3)'!D30</f>
        <v>#REF!</v>
      </c>
      <c r="E36" s="1162"/>
      <c r="F36" s="1162"/>
      <c r="G36" s="1162"/>
      <c r="H36" s="1162"/>
      <c r="I36" s="1162"/>
      <c r="J36" s="1162"/>
      <c r="K36" s="1162"/>
      <c r="L36" s="1162"/>
      <c r="M36" s="1162"/>
      <c r="N36" s="1162"/>
      <c r="O36" s="1162"/>
      <c r="P36" s="1162"/>
      <c r="Q36" s="1162"/>
      <c r="R36" s="1162"/>
      <c r="S36" s="1162"/>
      <c r="T36" s="1162"/>
      <c r="U36" s="1162"/>
      <c r="V36" s="1165"/>
      <c r="W36" s="566"/>
      <c r="X36" s="566"/>
      <c r="Y36" s="566"/>
      <c r="Z36" s="1195"/>
      <c r="AA36" s="1195"/>
      <c r="AB36" s="856"/>
      <c r="AC36" s="1351"/>
      <c r="AD36" s="1162"/>
      <c r="AE36" s="1162"/>
      <c r="AF36" s="1162"/>
      <c r="AG36" s="856"/>
    </row>
    <row r="37" spans="1:33" s="1228" customFormat="1" ht="16.5">
      <c r="A37" s="1081"/>
      <c r="B37" s="1234" t="s">
        <v>974</v>
      </c>
      <c r="C37" s="1188" t="s">
        <v>392</v>
      </c>
      <c r="D37" s="1394">
        <f>'[5]BM1 (3)'!D31</f>
        <v>41.103</v>
      </c>
      <c r="E37" s="1235">
        <f>'[5]BM1 (3)'!F31</f>
        <v>51.550000000000004</v>
      </c>
      <c r="F37" s="1235">
        <f>'[5]BM1 (3)'!G31</f>
        <v>51.583000000000006</v>
      </c>
      <c r="G37" s="1235">
        <f>'[5]BM1 (3)'!H31</f>
        <v>51.35900000000001</v>
      </c>
      <c r="H37" s="1235">
        <f>'[5]BM1 (3)'!I31</f>
        <v>51.93999999999999</v>
      </c>
      <c r="I37" s="1235">
        <v>51.531</v>
      </c>
      <c r="J37" s="1235">
        <v>43.041</v>
      </c>
      <c r="K37" s="1235">
        <v>51.533</v>
      </c>
      <c r="L37" s="1235">
        <f>K37</f>
        <v>51.533</v>
      </c>
      <c r="M37" s="1395">
        <f>V37</f>
        <v>49.980999999999995</v>
      </c>
      <c r="N37" s="1395"/>
      <c r="O37" s="1395"/>
      <c r="P37" s="1396">
        <v>51.775</v>
      </c>
      <c r="Q37" s="1290">
        <v>51.806</v>
      </c>
      <c r="R37" s="1235">
        <f>'BM2 a'!E19</f>
        <v>50.88199999999999</v>
      </c>
      <c r="S37" s="1235">
        <f>'BM2 a'!F19</f>
        <v>50.580999999999996</v>
      </c>
      <c r="T37" s="1235">
        <f>'BM2 a'!G19</f>
        <v>50.28099999999999</v>
      </c>
      <c r="U37" s="1235">
        <f>'BM2 a'!H19</f>
        <v>49.980999999999995</v>
      </c>
      <c r="V37" s="1397">
        <f>U37</f>
        <v>49.980999999999995</v>
      </c>
      <c r="W37" s="1227"/>
      <c r="X37" s="1227"/>
      <c r="Y37" s="1227"/>
      <c r="Z37" s="1223">
        <f t="shared" si="2"/>
        <v>99.21640354254912</v>
      </c>
      <c r="AA37" s="1223">
        <f t="shared" si="3"/>
        <v>100.00388115891406</v>
      </c>
      <c r="AB37" s="1224">
        <f aca="true" t="shared" si="14" ref="AB37:AB56">(Q37/K37)*100</f>
        <v>100.52975763103254</v>
      </c>
      <c r="AC37" s="1329">
        <v>51.35</v>
      </c>
      <c r="AD37" s="1395">
        <f>Q37/P37%</f>
        <v>100.05987445678417</v>
      </c>
      <c r="AE37" s="1395"/>
      <c r="AF37" s="1226">
        <f>AC37/Q37%</f>
        <v>99.11979307416131</v>
      </c>
      <c r="AG37" s="1224"/>
    </row>
    <row r="38" spans="1:33" s="572" customFormat="1" ht="16.5" hidden="1">
      <c r="A38" s="569"/>
      <c r="B38" s="952" t="s">
        <v>975</v>
      </c>
      <c r="C38" s="1161" t="s">
        <v>392</v>
      </c>
      <c r="D38" s="1192">
        <v>31728</v>
      </c>
      <c r="E38" s="1171">
        <f>'[5]BM1 (3)'!F35</f>
        <v>43062</v>
      </c>
      <c r="F38" s="1171">
        <f>'[5]BM1 (3)'!G35</f>
        <v>43087</v>
      </c>
      <c r="G38" s="1171">
        <f>'[5]BM1 (3)'!H35</f>
        <v>43087</v>
      </c>
      <c r="H38" s="1171">
        <f>'[5]BM1 (3)'!I35</f>
        <v>43715</v>
      </c>
      <c r="I38" s="1171"/>
      <c r="J38" s="1171"/>
      <c r="K38" s="1171">
        <f>'[5]BM1 (3)'!J35</f>
        <v>41932</v>
      </c>
      <c r="L38" s="1171">
        <f>K38</f>
        <v>41932</v>
      </c>
      <c r="M38" s="1200">
        <f aca="true" t="shared" si="15" ref="M38:M103">V38</f>
        <v>41.427</v>
      </c>
      <c r="N38" s="1200"/>
      <c r="O38" s="1200"/>
      <c r="P38" s="1200">
        <v>42.627</v>
      </c>
      <c r="Q38" s="1250"/>
      <c r="R38" s="1248">
        <v>42.327</v>
      </c>
      <c r="S38" s="1248">
        <v>42.027</v>
      </c>
      <c r="T38" s="1248">
        <v>41.727</v>
      </c>
      <c r="U38" s="1248">
        <v>41.427</v>
      </c>
      <c r="V38" s="1249">
        <f>U38</f>
        <v>41.427</v>
      </c>
      <c r="W38" s="571"/>
      <c r="X38" s="571"/>
      <c r="Y38" s="571"/>
      <c r="Z38" s="1195">
        <f t="shared" si="2"/>
        <v>95.92130847535171</v>
      </c>
      <c r="AA38" s="1195" t="e">
        <f t="shared" si="3"/>
        <v>#DIV/0!</v>
      </c>
      <c r="AB38" s="856">
        <f t="shared" si="14"/>
        <v>0</v>
      </c>
      <c r="AC38" s="1352"/>
      <c r="AD38" s="1181">
        <f aca="true" t="shared" si="16" ref="AD38:AD45">Q38/P38%</f>
        <v>0</v>
      </c>
      <c r="AE38" s="1200"/>
      <c r="AF38" s="1163" t="e">
        <f aca="true" t="shared" si="17" ref="AF38:AF45">AC38/Q38%</f>
        <v>#DIV/0!</v>
      </c>
      <c r="AG38" s="856"/>
    </row>
    <row r="39" spans="1:33" s="1228" customFormat="1" ht="16.5">
      <c r="A39" s="1081"/>
      <c r="B39" s="1234" t="s">
        <v>976</v>
      </c>
      <c r="C39" s="1188" t="s">
        <v>393</v>
      </c>
      <c r="D39" s="1394">
        <v>126.898</v>
      </c>
      <c r="E39" s="1290">
        <f>'[5]BM1 (3)'!F32</f>
        <v>125.648</v>
      </c>
      <c r="F39" s="1290">
        <f>'[5]BM1 (3)'!G32</f>
        <v>122.191</v>
      </c>
      <c r="G39" s="1290">
        <f>'[5]BM1 (3)'!H32</f>
        <v>120.957</v>
      </c>
      <c r="H39" s="1290">
        <f>'[5]BM1 (3)'!I32</f>
        <v>130.157</v>
      </c>
      <c r="I39" s="1290">
        <v>128.95</v>
      </c>
      <c r="J39" s="1290">
        <v>26.315</v>
      </c>
      <c r="K39" s="1290">
        <v>125.686</v>
      </c>
      <c r="L39" s="1290">
        <f>E39+F39+G39+H39+K39</f>
        <v>624.639</v>
      </c>
      <c r="M39" s="1395">
        <f t="shared" si="15"/>
        <v>657.696</v>
      </c>
      <c r="N39" s="1395"/>
      <c r="O39" s="1395"/>
      <c r="P39" s="1396">
        <v>126.857</v>
      </c>
      <c r="Q39" s="1290">
        <v>123.618</v>
      </c>
      <c r="R39" s="1235">
        <f>'BM2 a'!E24</f>
        <v>132.086</v>
      </c>
      <c r="S39" s="1235">
        <f>'BM2 a'!F24</f>
        <v>133.03300000000002</v>
      </c>
      <c r="T39" s="1235">
        <f>'BM2 a'!G24</f>
        <v>134.39499999999998</v>
      </c>
      <c r="U39" s="1235">
        <f>'BM2 a'!H24</f>
        <v>134.564</v>
      </c>
      <c r="V39" s="1398">
        <f>Q39+R39+S39+T39+U39</f>
        <v>657.696</v>
      </c>
      <c r="W39" s="1399"/>
      <c r="X39" s="1399"/>
      <c r="Y39" s="1399"/>
      <c r="Z39" s="1223">
        <f t="shared" si="2"/>
        <v>96.56491775317501</v>
      </c>
      <c r="AA39" s="1223">
        <f t="shared" si="3"/>
        <v>97.46878635129896</v>
      </c>
      <c r="AB39" s="1224">
        <f t="shared" si="14"/>
        <v>98.35462979170312</v>
      </c>
      <c r="AC39" s="1440">
        <v>133.336</v>
      </c>
      <c r="AD39" s="1395">
        <f t="shared" si="16"/>
        <v>97.44673135893171</v>
      </c>
      <c r="AE39" s="1395"/>
      <c r="AF39" s="1391">
        <f t="shared" si="17"/>
        <v>107.86131469527092</v>
      </c>
      <c r="AG39" s="1224"/>
    </row>
    <row r="40" spans="1:33" s="572" customFormat="1" ht="16.5">
      <c r="A40" s="569"/>
      <c r="B40" s="952" t="s">
        <v>977</v>
      </c>
      <c r="C40" s="1161" t="s">
        <v>298</v>
      </c>
      <c r="D40" s="1191">
        <v>48.4</v>
      </c>
      <c r="E40" s="1251">
        <f>'[5]BM1 (3)'!F33</f>
        <v>50</v>
      </c>
      <c r="F40" s="1251">
        <f>'[5]BM1 (3)'!G33</f>
        <v>54.43</v>
      </c>
      <c r="G40" s="1251">
        <f>'[5]BM1 (3)'!H33</f>
        <v>54.3</v>
      </c>
      <c r="H40" s="1251">
        <f>'[5]BM1 (3)'!I33</f>
        <v>56.14</v>
      </c>
      <c r="I40" s="1251">
        <v>61.6</v>
      </c>
      <c r="J40" s="1251"/>
      <c r="K40" s="1251">
        <v>61</v>
      </c>
      <c r="L40" s="1251">
        <f aca="true" t="shared" si="18" ref="L40:L46">K40</f>
        <v>61</v>
      </c>
      <c r="M40" s="1171">
        <f t="shared" si="15"/>
        <v>73</v>
      </c>
      <c r="N40" s="1171"/>
      <c r="O40" s="1171"/>
      <c r="P40" s="1171">
        <v>63</v>
      </c>
      <c r="Q40" s="1253">
        <v>63</v>
      </c>
      <c r="R40" s="1161">
        <v>66</v>
      </c>
      <c r="S40" s="1161">
        <v>69</v>
      </c>
      <c r="T40" s="1161">
        <v>71</v>
      </c>
      <c r="U40" s="1161">
        <v>73</v>
      </c>
      <c r="V40" s="1169">
        <f aca="true" t="shared" si="19" ref="V40:V46">U40</f>
        <v>73</v>
      </c>
      <c r="W40" s="571"/>
      <c r="X40" s="571"/>
      <c r="Y40" s="571"/>
      <c r="Z40" s="1195">
        <f t="shared" si="2"/>
        <v>108.65692910580691</v>
      </c>
      <c r="AA40" s="1195">
        <f t="shared" si="3"/>
        <v>99.02597402597402</v>
      </c>
      <c r="AB40" s="856">
        <f t="shared" si="14"/>
        <v>103.27868852459017</v>
      </c>
      <c r="AC40" s="1353">
        <v>66</v>
      </c>
      <c r="AD40" s="1171">
        <f t="shared" si="16"/>
        <v>100</v>
      </c>
      <c r="AE40" s="1171"/>
      <c r="AF40" s="1163">
        <f t="shared" si="17"/>
        <v>104.76190476190476</v>
      </c>
      <c r="AG40" s="856"/>
    </row>
    <row r="41" spans="1:33" s="572" customFormat="1" ht="16.5">
      <c r="A41" s="569"/>
      <c r="B41" s="952" t="s">
        <v>978</v>
      </c>
      <c r="C41" s="1161" t="s">
        <v>394</v>
      </c>
      <c r="D41" s="1252">
        <v>1.12</v>
      </c>
      <c r="E41" s="1253">
        <v>1.18</v>
      </c>
      <c r="F41" s="1253">
        <v>1.21</v>
      </c>
      <c r="G41" s="1253">
        <v>1.2</v>
      </c>
      <c r="H41" s="1253">
        <v>1.2</v>
      </c>
      <c r="I41" s="1253">
        <v>1.2</v>
      </c>
      <c r="J41" s="1253"/>
      <c r="K41" s="1253">
        <v>1.2</v>
      </c>
      <c r="L41" s="1253">
        <f t="shared" si="18"/>
        <v>1.2</v>
      </c>
      <c r="M41" s="1181">
        <f t="shared" si="15"/>
        <v>1.21</v>
      </c>
      <c r="N41" s="1181"/>
      <c r="O41" s="1181"/>
      <c r="P41" s="1201">
        <v>1.2</v>
      </c>
      <c r="Q41" s="1253">
        <v>1.2</v>
      </c>
      <c r="R41" s="1161">
        <v>1.2</v>
      </c>
      <c r="S41" s="1161">
        <v>1.2</v>
      </c>
      <c r="T41" s="1170">
        <v>1.21</v>
      </c>
      <c r="U41" s="1254">
        <v>1.21</v>
      </c>
      <c r="V41" s="1255">
        <f t="shared" si="19"/>
        <v>1.21</v>
      </c>
      <c r="W41" s="571"/>
      <c r="X41" s="571"/>
      <c r="Y41" s="571"/>
      <c r="Z41" s="1195">
        <f t="shared" si="2"/>
        <v>100</v>
      </c>
      <c r="AA41" s="1195">
        <f t="shared" si="3"/>
        <v>100</v>
      </c>
      <c r="AB41" s="856">
        <f t="shared" si="14"/>
        <v>100</v>
      </c>
      <c r="AC41" s="1354">
        <v>1.2</v>
      </c>
      <c r="AD41" s="1171">
        <f t="shared" si="16"/>
        <v>100</v>
      </c>
      <c r="AE41" s="1181"/>
      <c r="AF41" s="1169">
        <f t="shared" si="17"/>
        <v>100</v>
      </c>
      <c r="AG41" s="856"/>
    </row>
    <row r="42" spans="1:33" s="572" customFormat="1" ht="16.5">
      <c r="A42" s="569"/>
      <c r="B42" s="952" t="s">
        <v>983</v>
      </c>
      <c r="C42" s="1161" t="s">
        <v>394</v>
      </c>
      <c r="D42" s="1194">
        <v>1.5</v>
      </c>
      <c r="E42" s="1256">
        <f>'[5]BM1 (3)'!F34</f>
        <v>1.5</v>
      </c>
      <c r="F42" s="1256">
        <f>'[5]BM1 (3)'!G34</f>
        <v>1.73</v>
      </c>
      <c r="G42" s="1256">
        <f>'[5]BM1 (3)'!H34</f>
        <v>1.67</v>
      </c>
      <c r="H42" s="1256">
        <f>'[5]BM1 (3)'!I34</f>
        <v>1.64</v>
      </c>
      <c r="I42" s="1256">
        <v>1.64</v>
      </c>
      <c r="J42" s="1256"/>
      <c r="K42" s="1256">
        <v>1.62</v>
      </c>
      <c r="L42" s="1256">
        <f t="shared" si="18"/>
        <v>1.62</v>
      </c>
      <c r="M42" s="1181">
        <f t="shared" si="15"/>
        <v>1.8</v>
      </c>
      <c r="N42" s="1181"/>
      <c r="O42" s="1181"/>
      <c r="P42" s="1201">
        <v>1.68</v>
      </c>
      <c r="Q42" s="1283">
        <v>1.7</v>
      </c>
      <c r="R42" s="1246">
        <f>'BM2 b'!E8</f>
        <v>1.7</v>
      </c>
      <c r="S42" s="1246">
        <f>'BM2 b'!F8</f>
        <v>1.7</v>
      </c>
      <c r="T42" s="1246">
        <f>'BM2 b'!G8</f>
        <v>1.73</v>
      </c>
      <c r="U42" s="1246">
        <f>'BM2 b'!H8</f>
        <v>1.8</v>
      </c>
      <c r="V42" s="1255">
        <f t="shared" si="19"/>
        <v>1.8</v>
      </c>
      <c r="W42" s="571"/>
      <c r="X42" s="571"/>
      <c r="Y42" s="571"/>
      <c r="Z42" s="1195">
        <f t="shared" si="2"/>
        <v>98.78048780487806</v>
      </c>
      <c r="AA42" s="1195">
        <f t="shared" si="3"/>
        <v>98.78048780487806</v>
      </c>
      <c r="AB42" s="856">
        <f t="shared" si="14"/>
        <v>104.93827160493827</v>
      </c>
      <c r="AC42" s="1354">
        <v>1.7</v>
      </c>
      <c r="AD42" s="1181">
        <f t="shared" si="16"/>
        <v>101.19047619047619</v>
      </c>
      <c r="AE42" s="1181"/>
      <c r="AF42" s="1169">
        <f t="shared" si="17"/>
        <v>99.99999999999999</v>
      </c>
      <c r="AG42" s="856"/>
    </row>
    <row r="43" spans="1:33" s="572" customFormat="1" ht="16.5" hidden="1">
      <c r="A43" s="569"/>
      <c r="B43" s="952" t="s">
        <v>979</v>
      </c>
      <c r="C43" s="1161" t="s">
        <v>980</v>
      </c>
      <c r="D43" s="1245">
        <v>26.932</v>
      </c>
      <c r="E43" s="1245">
        <v>27.372</v>
      </c>
      <c r="F43" s="1245">
        <v>27.899</v>
      </c>
      <c r="G43" s="1245">
        <v>28.686</v>
      </c>
      <c r="H43" s="1245">
        <v>28.678</v>
      </c>
      <c r="I43" s="1245"/>
      <c r="J43" s="1245"/>
      <c r="K43" s="1245">
        <v>29.022</v>
      </c>
      <c r="L43" s="1245">
        <f t="shared" si="18"/>
        <v>29.022</v>
      </c>
      <c r="M43" s="1200">
        <f t="shared" si="15"/>
        <v>29.357</v>
      </c>
      <c r="N43" s="1200"/>
      <c r="O43" s="1200"/>
      <c r="P43" s="1200">
        <v>29.022</v>
      </c>
      <c r="Q43" s="1291"/>
      <c r="R43" s="1245">
        <v>29.918</v>
      </c>
      <c r="S43" s="1245">
        <v>29.684</v>
      </c>
      <c r="T43" s="1245">
        <v>29.575</v>
      </c>
      <c r="U43" s="1245">
        <v>29.357</v>
      </c>
      <c r="V43" s="1249">
        <f t="shared" si="19"/>
        <v>29.357</v>
      </c>
      <c r="W43" s="571"/>
      <c r="X43" s="571"/>
      <c r="Y43" s="571"/>
      <c r="Z43" s="1195">
        <f t="shared" si="2"/>
        <v>101.19952576888207</v>
      </c>
      <c r="AA43" s="1195" t="e">
        <f t="shared" si="3"/>
        <v>#DIV/0!</v>
      </c>
      <c r="AB43" s="856">
        <f t="shared" si="14"/>
        <v>0</v>
      </c>
      <c r="AC43" s="1352"/>
      <c r="AD43" s="1181">
        <f t="shared" si="16"/>
        <v>0</v>
      </c>
      <c r="AE43" s="1200"/>
      <c r="AF43" s="1255" t="e">
        <f t="shared" si="17"/>
        <v>#DIV/0!</v>
      </c>
      <c r="AG43" s="856"/>
    </row>
    <row r="44" spans="1:33" s="572" customFormat="1" ht="16.5">
      <c r="A44" s="569"/>
      <c r="B44" s="952" t="s">
        <v>774</v>
      </c>
      <c r="C44" s="1161" t="s">
        <v>980</v>
      </c>
      <c r="D44" s="1181">
        <v>11.705</v>
      </c>
      <c r="E44" s="1245">
        <v>13.259</v>
      </c>
      <c r="F44" s="1245">
        <v>15.15</v>
      </c>
      <c r="G44" s="1245">
        <v>15.073</v>
      </c>
      <c r="H44" s="1245">
        <v>17.577</v>
      </c>
      <c r="I44" s="1245">
        <v>17.772</v>
      </c>
      <c r="J44" s="1245"/>
      <c r="K44" s="1245">
        <v>17.772</v>
      </c>
      <c r="L44" s="1245">
        <f t="shared" si="18"/>
        <v>17.772</v>
      </c>
      <c r="M44" s="1181">
        <f t="shared" si="15"/>
        <v>21.041</v>
      </c>
      <c r="N44" s="1181"/>
      <c r="O44" s="1181"/>
      <c r="P44" s="1245">
        <v>18.772</v>
      </c>
      <c r="Q44" s="1291">
        <v>18.772</v>
      </c>
      <c r="R44" s="1245">
        <v>18.972</v>
      </c>
      <c r="S44" s="1245">
        <v>19.107</v>
      </c>
      <c r="T44" s="1245">
        <v>19.727</v>
      </c>
      <c r="U44" s="1245">
        <v>21.041</v>
      </c>
      <c r="V44" s="1249">
        <f t="shared" si="19"/>
        <v>21.041</v>
      </c>
      <c r="W44" s="571"/>
      <c r="X44" s="571"/>
      <c r="Y44" s="571"/>
      <c r="Z44" s="1195">
        <f t="shared" si="2"/>
        <v>101.10940433521077</v>
      </c>
      <c r="AA44" s="1195">
        <f t="shared" si="3"/>
        <v>100</v>
      </c>
      <c r="AB44" s="856">
        <f t="shared" si="14"/>
        <v>105.62682871933377</v>
      </c>
      <c r="AC44" s="1355">
        <v>18.972</v>
      </c>
      <c r="AD44" s="1171">
        <f t="shared" si="16"/>
        <v>100</v>
      </c>
      <c r="AE44" s="1181"/>
      <c r="AF44" s="1255">
        <f t="shared" si="17"/>
        <v>101.06541657788196</v>
      </c>
      <c r="AG44" s="856"/>
    </row>
    <row r="45" spans="1:33" s="572" customFormat="1" ht="16.5">
      <c r="A45" s="569"/>
      <c r="B45" s="952" t="s">
        <v>981</v>
      </c>
      <c r="C45" s="1161" t="s">
        <v>6</v>
      </c>
      <c r="D45" s="1171">
        <f>(D44/D43)*100</f>
        <v>43.461309965839895</v>
      </c>
      <c r="E45" s="1171">
        <f>(E44/E43)*100</f>
        <v>48.4400116907789</v>
      </c>
      <c r="F45" s="1171">
        <f>(F44/F43)*100</f>
        <v>54.303021613677906</v>
      </c>
      <c r="G45" s="1171">
        <f>(G44/G43)*100</f>
        <v>52.54479537056403</v>
      </c>
      <c r="H45" s="1171">
        <f>(H44/H43)*100</f>
        <v>61.290884998953906</v>
      </c>
      <c r="I45" s="1171">
        <v>62</v>
      </c>
      <c r="J45" s="1171"/>
      <c r="K45" s="1171">
        <v>61</v>
      </c>
      <c r="L45" s="1171">
        <f t="shared" si="18"/>
        <v>61</v>
      </c>
      <c r="M45" s="1200">
        <f t="shared" si="15"/>
        <v>71.67285485574139</v>
      </c>
      <c r="N45" s="1200"/>
      <c r="O45" s="1200"/>
      <c r="P45" s="1251">
        <v>62</v>
      </c>
      <c r="Q45" s="1289">
        <v>62</v>
      </c>
      <c r="R45" s="1171">
        <f>(R44/R43)*100</f>
        <v>63.41332976803263</v>
      </c>
      <c r="S45" s="1171">
        <f>(S44/S43)*100</f>
        <v>64.36800970219646</v>
      </c>
      <c r="T45" s="1171">
        <f>(T44/T43)*100</f>
        <v>66.70160608622147</v>
      </c>
      <c r="U45" s="1171">
        <f>(U44/U43)*100</f>
        <v>71.67285485574139</v>
      </c>
      <c r="V45" s="1169">
        <f t="shared" si="19"/>
        <v>71.67285485574139</v>
      </c>
      <c r="W45" s="571"/>
      <c r="X45" s="571"/>
      <c r="Y45" s="571"/>
      <c r="Z45" s="1195">
        <f t="shared" si="2"/>
        <v>99.52540251464981</v>
      </c>
      <c r="AA45" s="1195">
        <f t="shared" si="3"/>
        <v>98.38709677419355</v>
      </c>
      <c r="AB45" s="856">
        <f t="shared" si="14"/>
        <v>101.63934426229508</v>
      </c>
      <c r="AC45" s="1352">
        <v>63</v>
      </c>
      <c r="AD45" s="1171">
        <f t="shared" si="16"/>
        <v>100</v>
      </c>
      <c r="AE45" s="1200"/>
      <c r="AF45" s="1163">
        <f t="shared" si="17"/>
        <v>101.61290322580645</v>
      </c>
      <c r="AG45" s="856"/>
    </row>
    <row r="46" spans="1:33" s="583" customFormat="1" ht="16.5">
      <c r="A46" s="580">
        <v>5</v>
      </c>
      <c r="B46" s="581" t="s">
        <v>959</v>
      </c>
      <c r="C46" s="1172" t="s">
        <v>298</v>
      </c>
      <c r="D46" s="1257">
        <v>17</v>
      </c>
      <c r="E46" s="1257">
        <f>'[5]BM1 (3)'!F37</f>
        <v>25.18</v>
      </c>
      <c r="F46" s="1257">
        <f>'[5]BM1 (3)'!G37</f>
        <v>27.48</v>
      </c>
      <c r="G46" s="1257">
        <f>'[5]BM1 (3)'!H37</f>
        <v>27.66</v>
      </c>
      <c r="H46" s="1257">
        <f>'[5]BM1 (3)'!I37</f>
        <v>30.75</v>
      </c>
      <c r="I46" s="1257">
        <v>31.5</v>
      </c>
      <c r="J46" s="1257"/>
      <c r="K46" s="1257">
        <v>31.8</v>
      </c>
      <c r="L46" s="1257">
        <f t="shared" si="18"/>
        <v>31.8</v>
      </c>
      <c r="M46" s="1258">
        <f t="shared" si="15"/>
        <v>50</v>
      </c>
      <c r="N46" s="1258"/>
      <c r="O46" s="1258"/>
      <c r="P46" s="1295">
        <v>34</v>
      </c>
      <c r="Q46" s="1296">
        <v>35</v>
      </c>
      <c r="R46" s="1295">
        <v>37</v>
      </c>
      <c r="S46" s="1296">
        <v>41</v>
      </c>
      <c r="T46" s="1296">
        <v>45</v>
      </c>
      <c r="U46" s="1296">
        <v>50</v>
      </c>
      <c r="V46" s="1297">
        <f t="shared" si="19"/>
        <v>50</v>
      </c>
      <c r="W46" s="1298"/>
      <c r="X46" s="1298"/>
      <c r="Y46" s="1298"/>
      <c r="Z46" s="1299">
        <f t="shared" si="2"/>
        <v>103.41463414634147</v>
      </c>
      <c r="AA46" s="1299">
        <f t="shared" si="3"/>
        <v>100.95238095238095</v>
      </c>
      <c r="AB46" s="1300">
        <f t="shared" si="14"/>
        <v>110.062893081761</v>
      </c>
      <c r="AC46" s="1356">
        <v>37</v>
      </c>
      <c r="AD46" s="1293">
        <f>Q46/P46%</f>
        <v>102.94117647058823</v>
      </c>
      <c r="AE46" s="1295"/>
      <c r="AF46" s="1293">
        <f>AC46/Q46%</f>
        <v>105.71428571428572</v>
      </c>
      <c r="AG46" s="576"/>
    </row>
    <row r="47" spans="1:33" s="583" customFormat="1" ht="16.5">
      <c r="A47" s="580">
        <v>6</v>
      </c>
      <c r="B47" s="581" t="s">
        <v>672</v>
      </c>
      <c r="C47" s="1172" t="s">
        <v>293</v>
      </c>
      <c r="D47" s="1257">
        <v>45.86</v>
      </c>
      <c r="E47" s="1257">
        <f>'[5]BM1 (3)'!F38</f>
        <v>51.229</v>
      </c>
      <c r="F47" s="1257">
        <f>'[5]BM1 (3)'!G38</f>
        <v>57.772</v>
      </c>
      <c r="G47" s="1257">
        <f>'[5]BM1 (3)'!H38</f>
        <v>59.805</v>
      </c>
      <c r="H47" s="1257">
        <f>'[5]BM1 (3)'!I38</f>
        <v>86.48</v>
      </c>
      <c r="I47" s="1257">
        <v>82</v>
      </c>
      <c r="J47" s="1257">
        <v>28.17</v>
      </c>
      <c r="K47" s="1257">
        <v>86.425</v>
      </c>
      <c r="L47" s="1257">
        <f>K47+H47+G47+F47+E47</f>
        <v>341.711</v>
      </c>
      <c r="M47" s="1258">
        <f t="shared" si="15"/>
        <v>357.913</v>
      </c>
      <c r="N47" s="1258"/>
      <c r="O47" s="1258"/>
      <c r="P47" s="1323">
        <v>76.417</v>
      </c>
      <c r="Q47" s="1301">
        <v>68.913</v>
      </c>
      <c r="R47" s="1302">
        <f>'BM11R'!G7</f>
        <v>68</v>
      </c>
      <c r="S47" s="1302">
        <f>'BM11R'!H7</f>
        <v>71</v>
      </c>
      <c r="T47" s="1302">
        <f>'BM11R'!I7</f>
        <v>74</v>
      </c>
      <c r="U47" s="1302">
        <f>'BM11R'!J7</f>
        <v>76</v>
      </c>
      <c r="V47" s="1303">
        <f>Q47+R47+S47+T47+U47</f>
        <v>357.913</v>
      </c>
      <c r="W47" s="1298"/>
      <c r="X47" s="1298"/>
      <c r="Y47" s="1298"/>
      <c r="Z47" s="1299">
        <f t="shared" si="2"/>
        <v>99.936401480111</v>
      </c>
      <c r="AA47" s="1299">
        <f t="shared" si="3"/>
        <v>105.39634146341463</v>
      </c>
      <c r="AB47" s="1300">
        <f t="shared" si="14"/>
        <v>79.73734451836853</v>
      </c>
      <c r="AC47" s="1357">
        <v>77.098</v>
      </c>
      <c r="AD47" s="1295">
        <f>Q47/P47%</f>
        <v>90.18019550623552</v>
      </c>
      <c r="AE47" s="1295"/>
      <c r="AF47" s="1295">
        <f>AC47/Q47%</f>
        <v>111.87729455980728</v>
      </c>
      <c r="AG47" s="576"/>
    </row>
    <row r="48" spans="1:33" s="564" customFormat="1" ht="16.5" hidden="1">
      <c r="A48" s="562">
        <v>10</v>
      </c>
      <c r="B48" s="563" t="s">
        <v>395</v>
      </c>
      <c r="C48" s="1157" t="s">
        <v>293</v>
      </c>
      <c r="D48" s="1157"/>
      <c r="E48" s="1157"/>
      <c r="F48" s="1157"/>
      <c r="G48" s="1157"/>
      <c r="H48" s="1157"/>
      <c r="I48" s="1157"/>
      <c r="J48" s="1157"/>
      <c r="K48" s="1157"/>
      <c r="L48" s="1257">
        <f aca="true" t="shared" si="20" ref="L48:L56">K48+H48+G48+F48+E48</f>
        <v>0</v>
      </c>
      <c r="M48" s="1258">
        <f t="shared" si="15"/>
        <v>0</v>
      </c>
      <c r="N48" s="1258"/>
      <c r="O48" s="1258"/>
      <c r="P48" s="1295"/>
      <c r="Q48" s="1284"/>
      <c r="R48" s="1284"/>
      <c r="S48" s="1284"/>
      <c r="T48" s="1284"/>
      <c r="U48" s="1284"/>
      <c r="V48" s="1297"/>
      <c r="W48" s="1358"/>
      <c r="X48" s="1358"/>
      <c r="Y48" s="1358"/>
      <c r="Z48" s="1299" t="e">
        <f t="shared" si="2"/>
        <v>#DIV/0!</v>
      </c>
      <c r="AA48" s="1286" t="e">
        <f t="shared" si="3"/>
        <v>#DIV/0!</v>
      </c>
      <c r="AB48" s="1300" t="e">
        <f t="shared" si="14"/>
        <v>#DIV/0!</v>
      </c>
      <c r="AC48" s="1356"/>
      <c r="AD48" s="1295" t="e">
        <f>Q48/P48%</f>
        <v>#DIV/0!</v>
      </c>
      <c r="AE48" s="1295"/>
      <c r="AF48" s="1295" t="e">
        <f>AC48/Q48%</f>
        <v>#DIV/0!</v>
      </c>
      <c r="AG48" s="576"/>
    </row>
    <row r="49" spans="1:33" s="564" customFormat="1" ht="16.5">
      <c r="A49" s="562">
        <v>7</v>
      </c>
      <c r="B49" s="563" t="s">
        <v>396</v>
      </c>
      <c r="C49" s="1157"/>
      <c r="D49" s="1158">
        <v>177.1</v>
      </c>
      <c r="E49" s="1158">
        <f>'[5]BM1 (3)'!F40</f>
        <v>239.121</v>
      </c>
      <c r="F49" s="1158">
        <f>'[5]BM1 (3)'!G40</f>
        <v>345.84</v>
      </c>
      <c r="G49" s="1158">
        <f>'[5]BM1 (3)'!H40</f>
        <v>331.024</v>
      </c>
      <c r="H49" s="1158">
        <f>'[5]BM1 (3)'!I40</f>
        <v>342.54</v>
      </c>
      <c r="I49" s="1158">
        <v>310.82</v>
      </c>
      <c r="J49" s="1158">
        <v>145.368</v>
      </c>
      <c r="K49" s="1158">
        <v>356.982</v>
      </c>
      <c r="L49" s="1257">
        <f t="shared" si="20"/>
        <v>1615.507</v>
      </c>
      <c r="M49" s="1261">
        <f t="shared" si="15"/>
        <v>2179</v>
      </c>
      <c r="N49" s="1261"/>
      <c r="O49" s="1261"/>
      <c r="P49" s="1359">
        <v>308.706</v>
      </c>
      <c r="Q49" s="1360">
        <v>371.651</v>
      </c>
      <c r="R49" s="1361">
        <f>R50+R53</f>
        <v>470</v>
      </c>
      <c r="S49" s="1361">
        <f>S50+S53</f>
        <v>517</v>
      </c>
      <c r="T49" s="1361">
        <f>T50+T53</f>
        <v>568</v>
      </c>
      <c r="U49" s="1361">
        <f>U50+U53</f>
        <v>624</v>
      </c>
      <c r="V49" s="1362">
        <f>V50+V53</f>
        <v>2179</v>
      </c>
      <c r="W49" s="1358"/>
      <c r="X49" s="1358"/>
      <c r="Y49" s="1358"/>
      <c r="Z49" s="1299">
        <f t="shared" si="2"/>
        <v>104.2161499386933</v>
      </c>
      <c r="AA49" s="1299">
        <f t="shared" si="3"/>
        <v>114.85168264590439</v>
      </c>
      <c r="AB49" s="1300">
        <f t="shared" si="14"/>
        <v>104.10917077051502</v>
      </c>
      <c r="AC49" s="1363">
        <v>354.703</v>
      </c>
      <c r="AD49" s="1295">
        <f>Q49/P49%</f>
        <v>120.38995030870797</v>
      </c>
      <c r="AE49" s="1295"/>
      <c r="AF49" s="1295">
        <f>AC49/Q49%</f>
        <v>95.43980777665067</v>
      </c>
      <c r="AG49" s="576"/>
    </row>
    <row r="50" spans="1:33" s="564" customFormat="1" ht="16.5" hidden="1">
      <c r="A50" s="562" t="s">
        <v>397</v>
      </c>
      <c r="B50" s="563" t="s">
        <v>398</v>
      </c>
      <c r="C50" s="1157" t="s">
        <v>293</v>
      </c>
      <c r="D50" s="1158">
        <v>23.25</v>
      </c>
      <c r="E50" s="1158">
        <f>'[5]BM1 (3)'!F47</f>
        <v>20.973</v>
      </c>
      <c r="F50" s="1158">
        <f>'[5]BM1 (3)'!G47</f>
        <v>40.203</v>
      </c>
      <c r="G50" s="1158">
        <f>'[5]BM1 (3)'!H47</f>
        <v>63.193</v>
      </c>
      <c r="H50" s="1158">
        <f>'[5]BM1 (3)'!I47</f>
        <v>45.15</v>
      </c>
      <c r="I50" s="1158"/>
      <c r="J50" s="1158"/>
      <c r="K50" s="1158">
        <f>'[5]BM1 (3)'!J47</f>
        <v>27.94</v>
      </c>
      <c r="L50" s="1257">
        <f t="shared" si="20"/>
        <v>197.459</v>
      </c>
      <c r="M50" s="1261">
        <f t="shared" si="15"/>
        <v>445</v>
      </c>
      <c r="N50" s="1261"/>
      <c r="O50" s="1261"/>
      <c r="P50" s="1261">
        <v>85</v>
      </c>
      <c r="Q50" s="1158"/>
      <c r="R50" s="1158">
        <f>'BM11R'!G22</f>
        <v>95</v>
      </c>
      <c r="S50" s="1158">
        <f>'BM11R'!H22</f>
        <v>105</v>
      </c>
      <c r="T50" s="1158">
        <f>'BM11R'!I22</f>
        <v>115</v>
      </c>
      <c r="U50" s="1158">
        <f>'BM11R'!J22</f>
        <v>130</v>
      </c>
      <c r="V50" s="1364">
        <f>Q50+R50+S50+T50+U50</f>
        <v>445</v>
      </c>
      <c r="W50" s="566"/>
      <c r="X50" s="566"/>
      <c r="Y50" s="566"/>
      <c r="Z50" s="1206">
        <f t="shared" si="2"/>
        <v>61.88261351052049</v>
      </c>
      <c r="AA50" s="1206" t="e">
        <f t="shared" si="3"/>
        <v>#DIV/0!</v>
      </c>
      <c r="AB50" s="576">
        <f t="shared" si="14"/>
        <v>0</v>
      </c>
      <c r="AC50" s="1346"/>
      <c r="AD50" s="1261"/>
      <c r="AE50" s="1261"/>
      <c r="AF50" s="1261"/>
      <c r="AG50" s="576"/>
    </row>
    <row r="51" spans="1:33" s="564" customFormat="1" ht="16.5" hidden="1">
      <c r="A51" s="562"/>
      <c r="B51" s="563" t="s">
        <v>399</v>
      </c>
      <c r="C51" s="1157" t="s">
        <v>293</v>
      </c>
      <c r="D51" s="1157"/>
      <c r="E51" s="1157"/>
      <c r="F51" s="1157"/>
      <c r="G51" s="1157"/>
      <c r="H51" s="1157"/>
      <c r="I51" s="1157"/>
      <c r="J51" s="1157"/>
      <c r="K51" s="1157"/>
      <c r="L51" s="1257">
        <f t="shared" si="20"/>
        <v>0</v>
      </c>
      <c r="M51" s="1261">
        <f t="shared" si="15"/>
        <v>0</v>
      </c>
      <c r="N51" s="1261"/>
      <c r="O51" s="1261"/>
      <c r="P51" s="1261"/>
      <c r="Q51" s="1157"/>
      <c r="R51" s="1157"/>
      <c r="S51" s="1157"/>
      <c r="T51" s="1157"/>
      <c r="U51" s="1157"/>
      <c r="V51" s="1166"/>
      <c r="W51" s="566"/>
      <c r="X51" s="566"/>
      <c r="Y51" s="566"/>
      <c r="Z51" s="1206" t="e">
        <f t="shared" si="2"/>
        <v>#DIV/0!</v>
      </c>
      <c r="AA51" s="1206" t="e">
        <f t="shared" si="3"/>
        <v>#DIV/0!</v>
      </c>
      <c r="AB51" s="576" t="e">
        <f t="shared" si="14"/>
        <v>#DIV/0!</v>
      </c>
      <c r="AC51" s="1346"/>
      <c r="AD51" s="1261"/>
      <c r="AE51" s="1261"/>
      <c r="AF51" s="1261"/>
      <c r="AG51" s="576"/>
    </row>
    <row r="52" spans="1:33" s="564" customFormat="1" ht="16.5" hidden="1">
      <c r="A52" s="562"/>
      <c r="B52" s="563" t="s">
        <v>400</v>
      </c>
      <c r="C52" s="1157" t="s">
        <v>293</v>
      </c>
      <c r="D52" s="1157"/>
      <c r="E52" s="1157"/>
      <c r="F52" s="1157"/>
      <c r="G52" s="1157"/>
      <c r="H52" s="1157"/>
      <c r="I52" s="1157"/>
      <c r="J52" s="1157"/>
      <c r="K52" s="1157"/>
      <c r="L52" s="1257">
        <f t="shared" si="20"/>
        <v>0</v>
      </c>
      <c r="M52" s="1261">
        <f t="shared" si="15"/>
        <v>0</v>
      </c>
      <c r="N52" s="1261"/>
      <c r="O52" s="1261"/>
      <c r="P52" s="1261"/>
      <c r="Q52" s="1157"/>
      <c r="R52" s="1157"/>
      <c r="S52" s="1157"/>
      <c r="T52" s="1157"/>
      <c r="U52" s="1157"/>
      <c r="V52" s="1166"/>
      <c r="W52" s="566"/>
      <c r="X52" s="566"/>
      <c r="Y52" s="566"/>
      <c r="Z52" s="1206" t="e">
        <f t="shared" si="2"/>
        <v>#DIV/0!</v>
      </c>
      <c r="AA52" s="1206" t="e">
        <f t="shared" si="3"/>
        <v>#DIV/0!</v>
      </c>
      <c r="AB52" s="576" t="e">
        <f t="shared" si="14"/>
        <v>#DIV/0!</v>
      </c>
      <c r="AC52" s="1346"/>
      <c r="AD52" s="1261"/>
      <c r="AE52" s="1261"/>
      <c r="AF52" s="1261"/>
      <c r="AG52" s="576"/>
    </row>
    <row r="53" spans="1:33" s="564" customFormat="1" ht="16.5" hidden="1">
      <c r="A53" s="562" t="s">
        <v>401</v>
      </c>
      <c r="B53" s="563" t="s">
        <v>402</v>
      </c>
      <c r="C53" s="1157" t="s">
        <v>293</v>
      </c>
      <c r="D53" s="1158">
        <f aca="true" t="shared" si="21" ref="D53:K53">D49-D50</f>
        <v>153.85</v>
      </c>
      <c r="E53" s="1158">
        <f t="shared" si="21"/>
        <v>218.14800000000002</v>
      </c>
      <c r="F53" s="1158">
        <f t="shared" si="21"/>
        <v>305.63699999999994</v>
      </c>
      <c r="G53" s="1158">
        <f t="shared" si="21"/>
        <v>267.831</v>
      </c>
      <c r="H53" s="1158">
        <f t="shared" si="21"/>
        <v>297.39000000000004</v>
      </c>
      <c r="I53" s="1158"/>
      <c r="J53" s="1158"/>
      <c r="K53" s="1158">
        <f t="shared" si="21"/>
        <v>329.04200000000003</v>
      </c>
      <c r="L53" s="1257">
        <f t="shared" si="20"/>
        <v>1418.0480000000002</v>
      </c>
      <c r="M53" s="1261">
        <f t="shared" si="15"/>
        <v>1734</v>
      </c>
      <c r="N53" s="1261"/>
      <c r="O53" s="1261"/>
      <c r="P53" s="1261">
        <v>343</v>
      </c>
      <c r="Q53" s="1158"/>
      <c r="R53" s="1158">
        <f>'BM11R'!G20</f>
        <v>375</v>
      </c>
      <c r="S53" s="1158">
        <f>'BM11R'!H20</f>
        <v>412</v>
      </c>
      <c r="T53" s="1158">
        <f>'BM11R'!I20</f>
        <v>453</v>
      </c>
      <c r="U53" s="1158">
        <f>'BM11R'!J20</f>
        <v>494</v>
      </c>
      <c r="V53" s="1364">
        <f>Q53+R53+S53+T53+U53</f>
        <v>1734</v>
      </c>
      <c r="W53" s="566"/>
      <c r="X53" s="566"/>
      <c r="Y53" s="566"/>
      <c r="Z53" s="1206">
        <f t="shared" si="2"/>
        <v>110.64326305524732</v>
      </c>
      <c r="AA53" s="1206" t="e">
        <f t="shared" si="3"/>
        <v>#DIV/0!</v>
      </c>
      <c r="AB53" s="576">
        <f t="shared" si="14"/>
        <v>0</v>
      </c>
      <c r="AC53" s="1346"/>
      <c r="AD53" s="1261"/>
      <c r="AE53" s="1261"/>
      <c r="AF53" s="1261"/>
      <c r="AG53" s="576"/>
    </row>
    <row r="54" spans="1:33" s="564" customFormat="1" ht="16.5">
      <c r="A54" s="562">
        <v>8</v>
      </c>
      <c r="B54" s="563" t="s">
        <v>403</v>
      </c>
      <c r="C54" s="1157"/>
      <c r="D54" s="1365">
        <f aca="true" t="shared" si="22" ref="D54:K54">SUM(D55:D56)</f>
        <v>297.9</v>
      </c>
      <c r="E54" s="1365">
        <f t="shared" si="22"/>
        <v>79.59299999999999</v>
      </c>
      <c r="F54" s="1365">
        <f t="shared" si="22"/>
        <v>119.583</v>
      </c>
      <c r="G54" s="1365">
        <f t="shared" si="22"/>
        <v>160.063</v>
      </c>
      <c r="H54" s="1365">
        <f t="shared" si="22"/>
        <v>98.50999999999999</v>
      </c>
      <c r="I54" s="1365">
        <f t="shared" si="22"/>
        <v>90.18299999999999</v>
      </c>
      <c r="J54" s="1365">
        <f t="shared" si="22"/>
        <v>53.876999999999995</v>
      </c>
      <c r="K54" s="1323">
        <f t="shared" si="22"/>
        <v>119.186</v>
      </c>
      <c r="L54" s="1257">
        <f t="shared" si="20"/>
        <v>576.935</v>
      </c>
      <c r="M54" s="1261">
        <f t="shared" si="15"/>
        <v>1066.6100000000001</v>
      </c>
      <c r="N54" s="1261"/>
      <c r="O54" s="1261"/>
      <c r="P54" s="1261">
        <v>124.807</v>
      </c>
      <c r="Q54" s="1366">
        <f>Q55+Q56</f>
        <v>111.60999999999999</v>
      </c>
      <c r="R54" s="1366">
        <f aca="true" t="shared" si="23" ref="R54:AC54">R55+R56</f>
        <v>205</v>
      </c>
      <c r="S54" s="1366">
        <f t="shared" si="23"/>
        <v>225</v>
      </c>
      <c r="T54" s="1366">
        <f t="shared" si="23"/>
        <v>250</v>
      </c>
      <c r="U54" s="1366">
        <f t="shared" si="23"/>
        <v>275</v>
      </c>
      <c r="V54" s="1366">
        <f t="shared" si="23"/>
        <v>1066.6100000000001</v>
      </c>
      <c r="W54" s="1366">
        <f t="shared" si="23"/>
        <v>0</v>
      </c>
      <c r="X54" s="1366">
        <f t="shared" si="23"/>
        <v>0</v>
      </c>
      <c r="Y54" s="1366">
        <f t="shared" si="23"/>
        <v>0</v>
      </c>
      <c r="Z54" s="1366">
        <f t="shared" si="23"/>
        <v>243.04804325412044</v>
      </c>
      <c r="AA54" s="1366">
        <f t="shared" si="23"/>
        <v>272.80334801227843</v>
      </c>
      <c r="AB54" s="1366">
        <f t="shared" si="23"/>
        <v>186.85738805027137</v>
      </c>
      <c r="AC54" s="1367">
        <f t="shared" si="23"/>
        <v>138.199</v>
      </c>
      <c r="AD54" s="1368">
        <f>Q54/P54%</f>
        <v>89.4260738580368</v>
      </c>
      <c r="AE54" s="1261"/>
      <c r="AF54" s="1368">
        <f>AC54/Q54%</f>
        <v>123.82313412776635</v>
      </c>
      <c r="AG54" s="576"/>
    </row>
    <row r="55" spans="1:33" s="1130" customFormat="1" ht="16.5">
      <c r="A55" s="1126"/>
      <c r="B55" s="1127" t="s">
        <v>404</v>
      </c>
      <c r="C55" s="1221" t="s">
        <v>293</v>
      </c>
      <c r="D55" s="1271">
        <v>274.65</v>
      </c>
      <c r="E55" s="1271">
        <f>'[5]BM1 (3)'!F46</f>
        <v>58.62</v>
      </c>
      <c r="F55" s="1271">
        <f>'[5]BM1 (3)'!G46</f>
        <v>79.38</v>
      </c>
      <c r="G55" s="1271">
        <f>'[5]BM1 (3)'!H46</f>
        <v>96.87</v>
      </c>
      <c r="H55" s="1271">
        <f>'[5]BM1 (3)'!I46</f>
        <v>53.36</v>
      </c>
      <c r="I55" s="1271">
        <v>53.74</v>
      </c>
      <c r="J55" s="1271">
        <v>40.921</v>
      </c>
      <c r="K55" s="1231">
        <v>61.418</v>
      </c>
      <c r="L55" s="1231">
        <f t="shared" si="20"/>
        <v>349.648</v>
      </c>
      <c r="M55" s="1236">
        <f t="shared" si="15"/>
        <v>571.691</v>
      </c>
      <c r="N55" s="1236"/>
      <c r="O55" s="1236"/>
      <c r="P55" s="1305">
        <v>80</v>
      </c>
      <c r="Q55" s="1332">
        <f>57.952+3.739</f>
        <v>61.690999999999995</v>
      </c>
      <c r="R55" s="1272">
        <v>110</v>
      </c>
      <c r="S55" s="1272">
        <v>120</v>
      </c>
      <c r="T55" s="1272">
        <v>135</v>
      </c>
      <c r="U55" s="1272">
        <v>145</v>
      </c>
      <c r="V55" s="1306">
        <f>Q55+R55+S55+T55+U55</f>
        <v>571.691</v>
      </c>
      <c r="W55" s="1307"/>
      <c r="X55" s="1307"/>
      <c r="Y55" s="1307"/>
      <c r="Z55" s="1294">
        <f t="shared" si="2"/>
        <v>115.10119940029986</v>
      </c>
      <c r="AA55" s="1294">
        <f t="shared" si="3"/>
        <v>114.28730926684034</v>
      </c>
      <c r="AB55" s="1308">
        <f t="shared" si="14"/>
        <v>100.44449509915658</v>
      </c>
      <c r="AC55" s="1330">
        <v>110</v>
      </c>
      <c r="AD55" s="1309">
        <f>Q55/P55%</f>
        <v>77.11375</v>
      </c>
      <c r="AE55" s="1305"/>
      <c r="AF55" s="1305">
        <f>AC55/Q55%</f>
        <v>178.30801899790893</v>
      </c>
      <c r="AG55" s="1224"/>
    </row>
    <row r="56" spans="1:33" s="1130" customFormat="1" ht="16.5">
      <c r="A56" s="1126"/>
      <c r="B56" s="1127" t="s">
        <v>405</v>
      </c>
      <c r="C56" s="1221" t="s">
        <v>293</v>
      </c>
      <c r="D56" s="1271">
        <f>D50</f>
        <v>23.25</v>
      </c>
      <c r="E56" s="1271">
        <f>E50</f>
        <v>20.973</v>
      </c>
      <c r="F56" s="1271">
        <f>F50</f>
        <v>40.203</v>
      </c>
      <c r="G56" s="1271">
        <f>G50</f>
        <v>63.193</v>
      </c>
      <c r="H56" s="1271">
        <f>H50</f>
        <v>45.15</v>
      </c>
      <c r="I56" s="1271">
        <v>36.443</v>
      </c>
      <c r="J56" s="1271">
        <v>12.956</v>
      </c>
      <c r="K56" s="1231">
        <v>57.768</v>
      </c>
      <c r="L56" s="1231">
        <f t="shared" si="20"/>
        <v>227.28699999999998</v>
      </c>
      <c r="M56" s="1236">
        <f t="shared" si="15"/>
        <v>494.919</v>
      </c>
      <c r="N56" s="1236"/>
      <c r="O56" s="1236"/>
      <c r="P56" s="1305">
        <v>44.807</v>
      </c>
      <c r="Q56" s="1332">
        <v>49.919</v>
      </c>
      <c r="R56" s="1272">
        <f>R50</f>
        <v>95</v>
      </c>
      <c r="S56" s="1272">
        <f>S50</f>
        <v>105</v>
      </c>
      <c r="T56" s="1272">
        <f>T50</f>
        <v>115</v>
      </c>
      <c r="U56" s="1272">
        <f>U50</f>
        <v>130</v>
      </c>
      <c r="V56" s="1306">
        <f>Q56+R56+S56+T56+U56</f>
        <v>494.919</v>
      </c>
      <c r="W56" s="1307"/>
      <c r="X56" s="1307"/>
      <c r="Y56" s="1307"/>
      <c r="Z56" s="1294">
        <f t="shared" si="2"/>
        <v>127.9468438538206</v>
      </c>
      <c r="AA56" s="1294">
        <f t="shared" si="3"/>
        <v>158.5160387454381</v>
      </c>
      <c r="AB56" s="1308">
        <f t="shared" si="14"/>
        <v>86.4128929511148</v>
      </c>
      <c r="AC56" s="1333">
        <v>28.199</v>
      </c>
      <c r="AD56" s="1309">
        <f>Q56/P56%</f>
        <v>111.4089316401455</v>
      </c>
      <c r="AE56" s="1305"/>
      <c r="AF56" s="1305">
        <f>AC56/Q56%</f>
        <v>56.48951301107795</v>
      </c>
      <c r="AG56" s="1224"/>
    </row>
    <row r="57" spans="1:33" s="1218" customFormat="1" ht="16.5">
      <c r="A57" s="1214">
        <v>9</v>
      </c>
      <c r="B57" s="1215" t="s">
        <v>406</v>
      </c>
      <c r="C57" s="1216"/>
      <c r="D57" s="1216"/>
      <c r="E57" s="1216"/>
      <c r="F57" s="1216"/>
      <c r="G57" s="1216"/>
      <c r="H57" s="1216"/>
      <c r="I57" s="1216"/>
      <c r="J57" s="1216"/>
      <c r="K57" s="1237"/>
      <c r="L57" s="1216"/>
      <c r="M57" s="1236"/>
      <c r="N57" s="1236"/>
      <c r="O57" s="1236"/>
      <c r="P57" s="1236"/>
      <c r="Q57" s="1325"/>
      <c r="R57" s="1216"/>
      <c r="S57" s="1216"/>
      <c r="T57" s="1216"/>
      <c r="U57" s="1216"/>
      <c r="V57" s="1238"/>
      <c r="W57" s="579"/>
      <c r="X57" s="579"/>
      <c r="Y57" s="579"/>
      <c r="Z57" s="1223"/>
      <c r="AA57" s="1223"/>
      <c r="AB57" s="1224"/>
      <c r="AC57" s="1334"/>
      <c r="AD57" s="1236"/>
      <c r="AE57" s="1236"/>
      <c r="AF57" s="1236"/>
      <c r="AG57" s="1224"/>
    </row>
    <row r="58" spans="1:33" s="1130" customFormat="1" ht="16.5">
      <c r="A58" s="1126"/>
      <c r="B58" s="1239" t="s">
        <v>407</v>
      </c>
      <c r="C58" s="1221" t="s">
        <v>408</v>
      </c>
      <c r="D58" s="1271">
        <v>23.6</v>
      </c>
      <c r="E58" s="1271">
        <f>'[5]BM1 (3)'!F49</f>
        <v>30.71</v>
      </c>
      <c r="F58" s="1271">
        <f>'[5]BM1 (3)'!G49</f>
        <v>47.01</v>
      </c>
      <c r="G58" s="1271">
        <f>'[5]BM1 (3)'!H49</f>
        <v>41.75</v>
      </c>
      <c r="H58" s="1271">
        <f>'[5]BM1 (3)'!I49</f>
        <v>5.06</v>
      </c>
      <c r="I58" s="1271">
        <v>10</v>
      </c>
      <c r="J58" s="1271"/>
      <c r="K58" s="1271">
        <v>11.346</v>
      </c>
      <c r="L58" s="1271">
        <f>E58+F58+G58+H58+K58</f>
        <v>135.876</v>
      </c>
      <c r="M58" s="1236">
        <f t="shared" si="15"/>
        <v>48</v>
      </c>
      <c r="N58" s="1236"/>
      <c r="O58" s="1236"/>
      <c r="P58" s="1305">
        <v>12</v>
      </c>
      <c r="Q58" s="1304">
        <v>0</v>
      </c>
      <c r="R58" s="1304">
        <v>12</v>
      </c>
      <c r="S58" s="1304">
        <v>12</v>
      </c>
      <c r="T58" s="1304">
        <v>12</v>
      </c>
      <c r="U58" s="1304">
        <v>12</v>
      </c>
      <c r="V58" s="1400">
        <f>SUM(Q58:U58)</f>
        <v>48</v>
      </c>
      <c r="W58" s="1307"/>
      <c r="X58" s="1307"/>
      <c r="Y58" s="1307"/>
      <c r="Z58" s="1294">
        <f t="shared" si="2"/>
        <v>224.22924901185772</v>
      </c>
      <c r="AA58" s="1294">
        <f t="shared" si="3"/>
        <v>113.46000000000001</v>
      </c>
      <c r="AB58" s="1308">
        <f>(Q58/K58)*100</f>
        <v>0</v>
      </c>
      <c r="AC58" s="1330">
        <v>13</v>
      </c>
      <c r="AD58" s="1305">
        <f>Q58/P58%</f>
        <v>0</v>
      </c>
      <c r="AE58" s="1305"/>
      <c r="AF58" s="1305"/>
      <c r="AG58" s="1224"/>
    </row>
    <row r="59" spans="1:33" s="1130" customFormat="1" ht="16.5">
      <c r="A59" s="1126"/>
      <c r="B59" s="1239" t="s">
        <v>409</v>
      </c>
      <c r="C59" s="1221" t="s">
        <v>408</v>
      </c>
      <c r="D59" s="1271"/>
      <c r="E59" s="1271">
        <f>'[5]BM1 (3)'!F50</f>
        <v>2</v>
      </c>
      <c r="F59" s="1271" t="e">
        <f>'[5]BM1 (3)'!G50</f>
        <v>#REF!</v>
      </c>
      <c r="G59" s="1271" t="e">
        <f>'[5]BM1 (3)'!H50</f>
        <v>#REF!</v>
      </c>
      <c r="H59" s="1271">
        <f>'[5]BM1 (3)'!I50</f>
        <v>6</v>
      </c>
      <c r="I59" s="1271">
        <v>15</v>
      </c>
      <c r="J59" s="1271"/>
      <c r="K59" s="1271">
        <v>15</v>
      </c>
      <c r="L59" s="1271" t="e">
        <f>E59+F59+G59+H59+K59</f>
        <v>#REF!</v>
      </c>
      <c r="M59" s="1236">
        <f t="shared" si="15"/>
        <v>13</v>
      </c>
      <c r="N59" s="1236"/>
      <c r="O59" s="1236"/>
      <c r="P59" s="1305">
        <v>5</v>
      </c>
      <c r="Q59" s="1304">
        <v>0</v>
      </c>
      <c r="R59" s="1304">
        <v>5</v>
      </c>
      <c r="S59" s="1304">
        <v>3</v>
      </c>
      <c r="T59" s="1304">
        <v>2</v>
      </c>
      <c r="U59" s="1304">
        <v>3</v>
      </c>
      <c r="V59" s="1400">
        <f>SUM(Q59:U59)</f>
        <v>13</v>
      </c>
      <c r="W59" s="1307"/>
      <c r="X59" s="1307"/>
      <c r="Y59" s="1307"/>
      <c r="Z59" s="1294">
        <f t="shared" si="2"/>
        <v>250</v>
      </c>
      <c r="AA59" s="1294">
        <f t="shared" si="3"/>
        <v>100</v>
      </c>
      <c r="AB59" s="1308">
        <f>(Q59/K59)*100</f>
        <v>0</v>
      </c>
      <c r="AC59" s="1336">
        <v>10.5</v>
      </c>
      <c r="AD59" s="1305">
        <f>Q59/P59%</f>
        <v>0</v>
      </c>
      <c r="AE59" s="1305"/>
      <c r="AF59" s="1305"/>
      <c r="AG59" s="1224"/>
    </row>
    <row r="60" spans="1:33" s="1130" customFormat="1" ht="16.5">
      <c r="A60" s="1126"/>
      <c r="B60" s="1239" t="s">
        <v>410</v>
      </c>
      <c r="C60" s="1221" t="s">
        <v>6</v>
      </c>
      <c r="D60" s="1315"/>
      <c r="E60" s="1401">
        <f>'[5]BM1 (3)'!F51</f>
        <v>45.5</v>
      </c>
      <c r="F60" s="1401">
        <f>'[5]BM1 (3)'!G51</f>
        <v>50</v>
      </c>
      <c r="G60" s="1401">
        <f>'[5]BM1 (3)'!H51</f>
        <v>68.2</v>
      </c>
      <c r="H60" s="1402">
        <f>'[5]BM1 (3)'!I51</f>
        <v>100</v>
      </c>
      <c r="I60" s="1402">
        <v>100</v>
      </c>
      <c r="J60" s="1402">
        <v>100</v>
      </c>
      <c r="K60" s="1402">
        <v>100</v>
      </c>
      <c r="L60" s="1315">
        <f>K60</f>
        <v>100</v>
      </c>
      <c r="M60" s="1236">
        <f t="shared" si="15"/>
        <v>100</v>
      </c>
      <c r="N60" s="1236"/>
      <c r="O60" s="1236"/>
      <c r="P60" s="1305">
        <v>100</v>
      </c>
      <c r="Q60" s="1304">
        <v>100</v>
      </c>
      <c r="R60" s="1304">
        <v>100</v>
      </c>
      <c r="S60" s="1304">
        <v>100</v>
      </c>
      <c r="T60" s="1304">
        <v>100</v>
      </c>
      <c r="U60" s="1304">
        <v>100</v>
      </c>
      <c r="V60" s="1272">
        <v>100</v>
      </c>
      <c r="W60" s="1307"/>
      <c r="X60" s="1307"/>
      <c r="Y60" s="1307"/>
      <c r="Z60" s="1294">
        <f t="shared" si="2"/>
        <v>100</v>
      </c>
      <c r="AA60" s="1294">
        <f t="shared" si="3"/>
        <v>100</v>
      </c>
      <c r="AB60" s="1308">
        <f>(Q60/K60)*100</f>
        <v>100</v>
      </c>
      <c r="AC60" s="1330">
        <v>100</v>
      </c>
      <c r="AD60" s="1305">
        <f>Q60/P60%</f>
        <v>100</v>
      </c>
      <c r="AE60" s="1305"/>
      <c r="AF60" s="1305">
        <f>AC60/Q60%</f>
        <v>100</v>
      </c>
      <c r="AG60" s="1224"/>
    </row>
    <row r="61" spans="1:33" s="572" customFormat="1" ht="16.5" hidden="1">
      <c r="A61" s="569"/>
      <c r="B61" s="952" t="s">
        <v>411</v>
      </c>
      <c r="C61" s="1161" t="s">
        <v>6</v>
      </c>
      <c r="D61" s="1167">
        <f>'[5]BM1 (2)'!$K$51</f>
        <v>36.220175630459366</v>
      </c>
      <c r="E61" s="1167"/>
      <c r="F61" s="1167"/>
      <c r="G61" s="1167"/>
      <c r="H61" s="1167"/>
      <c r="I61" s="1167"/>
      <c r="J61" s="1167"/>
      <c r="K61" s="1167"/>
      <c r="L61" s="1167"/>
      <c r="M61" s="1200" t="e">
        <f t="shared" si="15"/>
        <v>#REF!</v>
      </c>
      <c r="N61" s="1200"/>
      <c r="O61" s="1200"/>
      <c r="P61" s="1200" t="e">
        <v>#REF!</v>
      </c>
      <c r="Q61" s="1248"/>
      <c r="R61" s="1248" t="e">
        <f>#REF!/#REF!*100</f>
        <v>#REF!</v>
      </c>
      <c r="S61" s="1248" t="e">
        <f>#REF!/#REF!*100</f>
        <v>#REF!</v>
      </c>
      <c r="T61" s="1248" t="e">
        <f>#REF!/#REF!*100</f>
        <v>#REF!</v>
      </c>
      <c r="U61" s="1248" t="e">
        <f>#REF!/#REF!*100</f>
        <v>#REF!</v>
      </c>
      <c r="V61" s="1175" t="e">
        <f>SUM(Q61:U61)/5</f>
        <v>#REF!</v>
      </c>
      <c r="W61" s="571"/>
      <c r="X61" s="571"/>
      <c r="Y61" s="571"/>
      <c r="Z61" s="1195" t="e">
        <f t="shared" si="2"/>
        <v>#DIV/0!</v>
      </c>
      <c r="AA61" s="1195" t="e">
        <f t="shared" si="3"/>
        <v>#DIV/0!</v>
      </c>
      <c r="AB61" s="856" t="e">
        <f>(Q61/K61)*100</f>
        <v>#DIV/0!</v>
      </c>
      <c r="AC61" s="1369"/>
      <c r="AD61" s="1251" t="e">
        <f>Q61/P61%</f>
        <v>#REF!</v>
      </c>
      <c r="AE61" s="1200"/>
      <c r="AF61" s="1200"/>
      <c r="AG61" s="856"/>
    </row>
    <row r="62" spans="1:33" s="1218" customFormat="1" ht="16.5">
      <c r="A62" s="1214">
        <v>10</v>
      </c>
      <c r="B62" s="1217" t="s">
        <v>412</v>
      </c>
      <c r="C62" s="1216" t="s">
        <v>413</v>
      </c>
      <c r="D62" s="1233">
        <v>1070</v>
      </c>
      <c r="E62" s="1233">
        <f>'[5]BM1 (3)'!F55</f>
        <v>495.6</v>
      </c>
      <c r="F62" s="1233">
        <f>'[5]BM1 (3)'!G55</f>
        <v>369.9</v>
      </c>
      <c r="G62" s="1233">
        <f>'[5]BM1 (3)'!H55</f>
        <v>1266.7</v>
      </c>
      <c r="H62" s="1233">
        <f>'[5]BM1 (3)'!I55</f>
        <v>532.5</v>
      </c>
      <c r="I62" s="1233">
        <v>600</v>
      </c>
      <c r="J62" s="1233">
        <v>320.98</v>
      </c>
      <c r="K62" s="1233">
        <v>630</v>
      </c>
      <c r="L62" s="1273">
        <f>K62+H62+G62+F62+E62</f>
        <v>3294.7</v>
      </c>
      <c r="M62" s="1274">
        <f t="shared" si="15"/>
        <v>5000</v>
      </c>
      <c r="N62" s="1274"/>
      <c r="O62" s="1274"/>
      <c r="P62" s="1274">
        <v>850</v>
      </c>
      <c r="Q62" s="1216">
        <v>850</v>
      </c>
      <c r="R62" s="1216">
        <v>900</v>
      </c>
      <c r="S62" s="1216">
        <v>1000</v>
      </c>
      <c r="T62" s="1216">
        <v>1100</v>
      </c>
      <c r="U62" s="1216">
        <v>1150</v>
      </c>
      <c r="V62" s="1393">
        <f>SUM(Q62:U62)</f>
        <v>5000</v>
      </c>
      <c r="W62" s="579"/>
      <c r="X62" s="579"/>
      <c r="Y62" s="579"/>
      <c r="Z62" s="1219">
        <f t="shared" si="2"/>
        <v>118.30985915492957</v>
      </c>
      <c r="AA62" s="1219">
        <f t="shared" si="3"/>
        <v>105</v>
      </c>
      <c r="AB62" s="1220">
        <f>(Q62/K62)*100</f>
        <v>134.92063492063494</v>
      </c>
      <c r="AC62" s="1327">
        <v>900</v>
      </c>
      <c r="AD62" s="1274">
        <f>Q62/P62%</f>
        <v>100</v>
      </c>
      <c r="AE62" s="1274"/>
      <c r="AF62" s="1274">
        <f>AC62/Q62%</f>
        <v>105.88235294117646</v>
      </c>
      <c r="AG62" s="1220"/>
    </row>
    <row r="63" spans="1:33" s="1218" customFormat="1" ht="16.5">
      <c r="A63" s="1214" t="s">
        <v>30</v>
      </c>
      <c r="B63" s="1215" t="s">
        <v>414</v>
      </c>
      <c r="C63" s="1216"/>
      <c r="D63" s="1216"/>
      <c r="E63" s="1216"/>
      <c r="F63" s="1216"/>
      <c r="G63" s="1216"/>
      <c r="H63" s="1216"/>
      <c r="I63" s="1216"/>
      <c r="J63" s="1216"/>
      <c r="K63" s="1233"/>
      <c r="L63" s="1216"/>
      <c r="M63" s="1236"/>
      <c r="N63" s="1236"/>
      <c r="O63" s="1236"/>
      <c r="P63" s="1236"/>
      <c r="Q63" s="1216"/>
      <c r="R63" s="1216"/>
      <c r="S63" s="1216"/>
      <c r="T63" s="1216"/>
      <c r="U63" s="1216"/>
      <c r="V63" s="1238"/>
      <c r="W63" s="579"/>
      <c r="X63" s="579"/>
      <c r="Y63" s="579"/>
      <c r="Z63" s="1223"/>
      <c r="AA63" s="1223"/>
      <c r="AB63" s="1224"/>
      <c r="AC63" s="1334"/>
      <c r="AD63" s="1236"/>
      <c r="AE63" s="1236"/>
      <c r="AF63" s="1236"/>
      <c r="AG63" s="1224"/>
    </row>
    <row r="64" spans="1:33" s="1218" customFormat="1" ht="16.5">
      <c r="A64" s="1214">
        <v>1</v>
      </c>
      <c r="B64" s="1215" t="s">
        <v>415</v>
      </c>
      <c r="C64" s="1216" t="s">
        <v>299</v>
      </c>
      <c r="D64" s="1414">
        <v>65021</v>
      </c>
      <c r="E64" s="1414">
        <f>'[5]BM1 (3)'!F58</f>
        <v>65721</v>
      </c>
      <c r="F64" s="1414">
        <f>'[5]BM1 (3)'!G58</f>
        <v>67298</v>
      </c>
      <c r="G64" s="1414">
        <f>'[5]BM1 (3)'!H58</f>
        <v>69006</v>
      </c>
      <c r="H64" s="1414">
        <f>'[5]BM1 (3)'!I58</f>
        <v>70583</v>
      </c>
      <c r="I64" s="1229">
        <v>72083</v>
      </c>
      <c r="J64" s="1229">
        <v>71969</v>
      </c>
      <c r="K64" s="1414">
        <v>72852</v>
      </c>
      <c r="L64" s="1414">
        <f>K64</f>
        <v>72852</v>
      </c>
      <c r="M64" s="1415">
        <f t="shared" si="15"/>
        <v>79052</v>
      </c>
      <c r="N64" s="1415"/>
      <c r="O64" s="1415"/>
      <c r="P64" s="1274">
        <v>74272</v>
      </c>
      <c r="Q64" s="1425">
        <v>75804</v>
      </c>
      <c r="R64" s="1414">
        <f>'BM8r'!F35</f>
        <v>74884</v>
      </c>
      <c r="S64" s="1414">
        <f>'BM8r'!G35</f>
        <v>76307</v>
      </c>
      <c r="T64" s="1414">
        <f>'BM8r'!H35</f>
        <v>77729</v>
      </c>
      <c r="U64" s="1414">
        <f>'BM8r'!I35</f>
        <v>79052</v>
      </c>
      <c r="V64" s="1230">
        <f>U64</f>
        <v>79052</v>
      </c>
      <c r="W64" s="1416"/>
      <c r="X64" s="1416"/>
      <c r="Y64" s="1416"/>
      <c r="Z64" s="1219">
        <f t="shared" si="2"/>
        <v>103.21465508691894</v>
      </c>
      <c r="AA64" s="1219">
        <f t="shared" si="3"/>
        <v>101.0668257425468</v>
      </c>
      <c r="AB64" s="1220">
        <f>(Q64/K64)*100</f>
        <v>104.05205073299291</v>
      </c>
      <c r="AC64" s="1426" t="s">
        <v>1040</v>
      </c>
      <c r="AD64" s="1274">
        <f>Q64/P64%</f>
        <v>102.06268849633778</v>
      </c>
      <c r="AE64" s="1274"/>
      <c r="AF64" s="1274">
        <f>AC64/Q64%</f>
        <v>101.11603609308216</v>
      </c>
      <c r="AG64" s="1220"/>
    </row>
    <row r="65" spans="1:33" s="1130" customFormat="1" ht="16.5">
      <c r="A65" s="1126"/>
      <c r="B65" s="1127" t="s">
        <v>416</v>
      </c>
      <c r="C65" s="1221" t="s">
        <v>6</v>
      </c>
      <c r="D65" s="1271">
        <v>1.65</v>
      </c>
      <c r="E65" s="1271">
        <f>'[5]BM1 (3)'!F59</f>
        <v>1.6</v>
      </c>
      <c r="F65" s="1271">
        <f>'[5]BM1 (3)'!G59</f>
        <v>1.53</v>
      </c>
      <c r="G65" s="1271">
        <f>'[5]BM1 (3)'!H59</f>
        <v>1.35</v>
      </c>
      <c r="H65" s="1271">
        <f>'[5]BM1 (3)'!I59</f>
        <v>1.35</v>
      </c>
      <c r="I65" s="1417">
        <v>1.31</v>
      </c>
      <c r="J65" s="1417">
        <v>0.58</v>
      </c>
      <c r="K65" s="1271">
        <v>1.29</v>
      </c>
      <c r="L65" s="1271">
        <f>K65</f>
        <v>1.29</v>
      </c>
      <c r="M65" s="1395">
        <f t="shared" si="15"/>
        <v>1.2</v>
      </c>
      <c r="N65" s="1395"/>
      <c r="O65" s="1395"/>
      <c r="P65" s="1395">
        <v>1.27</v>
      </c>
      <c r="Q65" s="1418">
        <v>1.27</v>
      </c>
      <c r="R65" s="1271">
        <f>'BM8r'!F38</f>
        <v>1.28</v>
      </c>
      <c r="S65" s="1271">
        <f>'BM8r'!G38</f>
        <v>1.27</v>
      </c>
      <c r="T65" s="1271">
        <f>'BM8r'!H38</f>
        <v>1.25</v>
      </c>
      <c r="U65" s="1271">
        <f>'BM8r'!I38</f>
        <v>1.2</v>
      </c>
      <c r="V65" s="1419">
        <f>U65</f>
        <v>1.2</v>
      </c>
      <c r="W65" s="573"/>
      <c r="X65" s="573"/>
      <c r="Y65" s="573"/>
      <c r="Z65" s="1223">
        <f t="shared" si="2"/>
        <v>95.55555555555554</v>
      </c>
      <c r="AA65" s="1223">
        <f t="shared" si="3"/>
        <v>98.47328244274809</v>
      </c>
      <c r="AB65" s="1224">
        <f>(Q65/K65)*100</f>
        <v>98.44961240310077</v>
      </c>
      <c r="AC65" s="1328">
        <v>1.26</v>
      </c>
      <c r="AD65" s="1415">
        <f>Q65/P65%</f>
        <v>100</v>
      </c>
      <c r="AE65" s="1415"/>
      <c r="AF65" s="1415">
        <f>AC65/Q65%</f>
        <v>99.21259842519686</v>
      </c>
      <c r="AG65" s="1224"/>
    </row>
    <row r="66" spans="1:33" s="1228" customFormat="1" ht="16.5">
      <c r="A66" s="1081"/>
      <c r="B66" s="1225" t="s">
        <v>417</v>
      </c>
      <c r="C66" s="1188" t="s">
        <v>15</v>
      </c>
      <c r="D66" s="1420">
        <v>1</v>
      </c>
      <c r="E66" s="1420">
        <f>'[5]BM1 (3)'!F61</f>
        <v>1.08</v>
      </c>
      <c r="F66" s="1420">
        <f>'[5]BM1 (3)'!G61</f>
        <v>1.2</v>
      </c>
      <c r="G66" s="1420">
        <f>'[5]BM1 (3)'!H61</f>
        <v>2.8</v>
      </c>
      <c r="H66" s="1420">
        <f>'[5]BM1 (3)'!I61</f>
        <v>0.6</v>
      </c>
      <c r="I66" s="1322">
        <v>0.7</v>
      </c>
      <c r="J66" s="1396"/>
      <c r="K66" s="1420">
        <v>0.7</v>
      </c>
      <c r="L66" s="1420">
        <f>K66</f>
        <v>0.7</v>
      </c>
      <c r="M66" s="1395">
        <v>0.4</v>
      </c>
      <c r="N66" s="1395"/>
      <c r="O66" s="1395"/>
      <c r="P66" s="1321">
        <v>0.5</v>
      </c>
      <c r="Q66" s="1421">
        <v>0.6</v>
      </c>
      <c r="R66" s="1420">
        <f>'BM8r'!F37</f>
        <v>0.6</v>
      </c>
      <c r="S66" s="1420">
        <f>'BM8r'!G37</f>
        <v>0.8</v>
      </c>
      <c r="T66" s="1420">
        <f>'BM8r'!H37</f>
        <v>0.5</v>
      </c>
      <c r="U66" s="1420">
        <f>'BM8r'!I37</f>
        <v>0.4</v>
      </c>
      <c r="V66" s="1422">
        <f>U66</f>
        <v>0.4</v>
      </c>
      <c r="W66" s="1227"/>
      <c r="X66" s="1227"/>
      <c r="Y66" s="1227"/>
      <c r="Z66" s="1223">
        <f t="shared" si="2"/>
        <v>116.66666666666667</v>
      </c>
      <c r="AA66" s="1223">
        <f t="shared" si="3"/>
        <v>100</v>
      </c>
      <c r="AB66" s="1224">
        <f>(Q66/K66)*100</f>
        <v>85.71428571428572</v>
      </c>
      <c r="AC66" s="1335">
        <v>0.6</v>
      </c>
      <c r="AD66" s="1415">
        <f>Q66/P66%</f>
        <v>120</v>
      </c>
      <c r="AE66" s="1415"/>
      <c r="AF66" s="1415">
        <f>AC66/Q66%</f>
        <v>100</v>
      </c>
      <c r="AG66" s="1224"/>
    </row>
    <row r="67" spans="1:33" s="1228" customFormat="1" ht="16.5">
      <c r="A67" s="1081"/>
      <c r="B67" s="1225" t="s">
        <v>418</v>
      </c>
      <c r="C67" s="1188" t="s">
        <v>25</v>
      </c>
      <c r="D67" s="1188"/>
      <c r="E67" s="1188"/>
      <c r="F67" s="1188"/>
      <c r="G67" s="1188"/>
      <c r="H67" s="1188">
        <v>70.4</v>
      </c>
      <c r="I67" s="1188">
        <v>71.5</v>
      </c>
      <c r="J67" s="1188">
        <v>70.5</v>
      </c>
      <c r="K67" s="1188">
        <v>70.5</v>
      </c>
      <c r="L67" s="1188">
        <f>K67</f>
        <v>70.5</v>
      </c>
      <c r="M67" s="1415">
        <f t="shared" si="15"/>
        <v>72</v>
      </c>
      <c r="N67" s="1415"/>
      <c r="O67" s="1415"/>
      <c r="P67" s="1321">
        <v>70.5</v>
      </c>
      <c r="Q67" s="1423">
        <v>70.5</v>
      </c>
      <c r="R67" s="1424">
        <f>'BM8r'!F39</f>
        <v>70.8</v>
      </c>
      <c r="S67" s="1424">
        <f>'BM8r'!G39</f>
        <v>71</v>
      </c>
      <c r="T67" s="1424">
        <f>'BM8r'!H39</f>
        <v>71.5</v>
      </c>
      <c r="U67" s="1424">
        <f>'BM8r'!I39</f>
        <v>72</v>
      </c>
      <c r="V67" s="1226">
        <f>U67</f>
        <v>72</v>
      </c>
      <c r="W67" s="1227"/>
      <c r="X67" s="1227"/>
      <c r="Y67" s="1227"/>
      <c r="Z67" s="1223">
        <f t="shared" si="2"/>
        <v>100.14204545454544</v>
      </c>
      <c r="AA67" s="1223">
        <f t="shared" si="3"/>
        <v>98.6013986013986</v>
      </c>
      <c r="AB67" s="1224">
        <f>(Q67/K67)*100</f>
        <v>100</v>
      </c>
      <c r="AC67" s="1331">
        <v>70.8</v>
      </c>
      <c r="AD67" s="1415">
        <f>Q67/P67%</f>
        <v>100</v>
      </c>
      <c r="AE67" s="1415"/>
      <c r="AF67" s="1415">
        <f>AC67/Q67%</f>
        <v>100.42553191489363</v>
      </c>
      <c r="AG67" s="1224"/>
    </row>
    <row r="68" spans="1:33" s="564" customFormat="1" ht="16.5">
      <c r="A68" s="562">
        <v>2</v>
      </c>
      <c r="B68" s="563" t="s">
        <v>419</v>
      </c>
      <c r="C68" s="1157"/>
      <c r="D68" s="1157"/>
      <c r="E68" s="1157"/>
      <c r="F68" s="1157"/>
      <c r="G68" s="1157"/>
      <c r="H68" s="1157"/>
      <c r="I68" s="1157"/>
      <c r="J68" s="1157"/>
      <c r="K68" s="1157"/>
      <c r="L68" s="1157"/>
      <c r="M68" s="1200"/>
      <c r="N68" s="1200"/>
      <c r="O68" s="1200"/>
      <c r="P68" s="1200"/>
      <c r="Q68" s="1157"/>
      <c r="R68" s="1157"/>
      <c r="S68" s="1157"/>
      <c r="T68" s="1157"/>
      <c r="U68" s="1157"/>
      <c r="V68" s="1173"/>
      <c r="W68" s="566"/>
      <c r="X68" s="566"/>
      <c r="Y68" s="566"/>
      <c r="Z68" s="1195"/>
      <c r="AA68" s="1195"/>
      <c r="AB68" s="856"/>
      <c r="AC68" s="1369"/>
      <c r="AD68" s="1200"/>
      <c r="AE68" s="1200"/>
      <c r="AF68" s="1200"/>
      <c r="AG68" s="856"/>
    </row>
    <row r="69" spans="1:33" ht="16.5" hidden="1">
      <c r="A69" s="561"/>
      <c r="B69" s="567" t="s">
        <v>420</v>
      </c>
      <c r="C69" s="1159" t="s">
        <v>6</v>
      </c>
      <c r="D69" s="1159">
        <v>100</v>
      </c>
      <c r="E69" s="1159"/>
      <c r="F69" s="1159"/>
      <c r="G69" s="1159"/>
      <c r="H69" s="1159"/>
      <c r="I69" s="1159"/>
      <c r="J69" s="1159"/>
      <c r="K69" s="1159"/>
      <c r="L69" s="1159"/>
      <c r="M69" s="1200">
        <f t="shared" si="15"/>
        <v>100</v>
      </c>
      <c r="N69" s="1200"/>
      <c r="O69" s="1200"/>
      <c r="P69" s="1200">
        <v>100</v>
      </c>
      <c r="Q69" s="1159"/>
      <c r="R69" s="1159">
        <v>100</v>
      </c>
      <c r="S69" s="1159">
        <v>100</v>
      </c>
      <c r="T69" s="1159">
        <v>100</v>
      </c>
      <c r="U69" s="1159">
        <v>100</v>
      </c>
      <c r="V69" s="1160">
        <v>100</v>
      </c>
      <c r="W69" s="568"/>
      <c r="X69" s="568"/>
      <c r="Y69" s="568"/>
      <c r="Z69" s="1195" t="e">
        <f t="shared" si="2"/>
        <v>#DIV/0!</v>
      </c>
      <c r="AA69" s="1195" t="e">
        <f t="shared" si="3"/>
        <v>#DIV/0!</v>
      </c>
      <c r="AB69" s="856" t="e">
        <f aca="true" t="shared" si="24" ref="AB69:AB75">(Q69/K69)*100</f>
        <v>#DIV/0!</v>
      </c>
      <c r="AC69" s="1369"/>
      <c r="AD69" s="1200"/>
      <c r="AE69" s="1200"/>
      <c r="AF69" s="1200"/>
      <c r="AG69" s="856"/>
    </row>
    <row r="70" spans="1:33" ht="16.5">
      <c r="A70" s="561"/>
      <c r="B70" s="1049" t="s">
        <v>1027</v>
      </c>
      <c r="C70" s="1159" t="s">
        <v>6</v>
      </c>
      <c r="D70" s="1177">
        <v>16</v>
      </c>
      <c r="E70" s="1194">
        <f>'[5]BM1 (3)'!F65</f>
        <v>17</v>
      </c>
      <c r="F70" s="1194">
        <f>'[5]BM1 (3)'!G65</f>
        <v>19.5</v>
      </c>
      <c r="G70" s="1194">
        <f>'[5]BM1 (3)'!H65</f>
        <v>22</v>
      </c>
      <c r="H70" s="1194">
        <f>'[5]BM1 (3)'!I65</f>
        <v>26.8</v>
      </c>
      <c r="I70" s="1194">
        <v>42.6</v>
      </c>
      <c r="J70" s="1193">
        <f>16/47</f>
        <v>0.3404255319148936</v>
      </c>
      <c r="K70" s="1193">
        <f>(19/48)*100</f>
        <v>39.58333333333333</v>
      </c>
      <c r="L70" s="1177">
        <f>K70</f>
        <v>39.58333333333333</v>
      </c>
      <c r="M70" s="1200">
        <f t="shared" si="15"/>
        <v>50</v>
      </c>
      <c r="N70" s="1200"/>
      <c r="O70" s="1200"/>
      <c r="P70" s="1170">
        <v>41.66666666666667</v>
      </c>
      <c r="Q70" s="1312">
        <v>39.58333333333333</v>
      </c>
      <c r="R70" s="1284">
        <f>'BM7 r'!F14</f>
        <v>46.5</v>
      </c>
      <c r="S70" s="1284">
        <f>'BM7 r'!G14</f>
        <v>48.8</v>
      </c>
      <c r="T70" s="1284">
        <f>'BM7 r'!H14</f>
        <v>50</v>
      </c>
      <c r="U70" s="1284">
        <f>'BM7 r'!I14</f>
        <v>50</v>
      </c>
      <c r="V70" s="1284">
        <f>U70</f>
        <v>50</v>
      </c>
      <c r="W70" s="1313"/>
      <c r="X70" s="1313"/>
      <c r="Y70" s="1313"/>
      <c r="Z70" s="1286">
        <f t="shared" si="2"/>
        <v>147.69900497512435</v>
      </c>
      <c r="AA70" s="1286">
        <f t="shared" si="3"/>
        <v>92.9186228482003</v>
      </c>
      <c r="AB70" s="857">
        <f t="shared" si="24"/>
        <v>100</v>
      </c>
      <c r="AC70" s="1439">
        <f>21/48%</f>
        <v>43.75</v>
      </c>
      <c r="AD70" s="1171">
        <f>Q70/P70%</f>
        <v>94.99999999999997</v>
      </c>
      <c r="AE70" s="1171"/>
      <c r="AF70" s="1171">
        <f>AC70/Q70%</f>
        <v>110.5263157894737</v>
      </c>
      <c r="AG70" s="856"/>
    </row>
    <row r="71" spans="1:33" ht="16.5" hidden="1">
      <c r="A71" s="561"/>
      <c r="B71" s="593" t="s">
        <v>422</v>
      </c>
      <c r="C71" s="1159" t="s">
        <v>421</v>
      </c>
      <c r="D71" s="1159"/>
      <c r="E71" s="1194" t="e">
        <f>'[5]BM1 (3)'!F66</f>
        <v>#REF!</v>
      </c>
      <c r="F71" s="1159"/>
      <c r="G71" s="1159"/>
      <c r="H71" s="1159"/>
      <c r="I71" s="1159"/>
      <c r="J71" s="1159"/>
      <c r="K71" s="1159"/>
      <c r="L71" s="1159"/>
      <c r="M71" s="1200">
        <f t="shared" si="15"/>
        <v>0</v>
      </c>
      <c r="N71" s="1200"/>
      <c r="O71" s="1200"/>
      <c r="P71" s="1251"/>
      <c r="Q71" s="1284"/>
      <c r="R71" s="1284"/>
      <c r="S71" s="1284"/>
      <c r="T71" s="1284"/>
      <c r="U71" s="1284"/>
      <c r="V71" s="1310"/>
      <c r="W71" s="1313"/>
      <c r="X71" s="1313"/>
      <c r="Y71" s="1313"/>
      <c r="Z71" s="1286" t="e">
        <f t="shared" si="2"/>
        <v>#DIV/0!</v>
      </c>
      <c r="AA71" s="1286" t="e">
        <f t="shared" si="3"/>
        <v>#DIV/0!</v>
      </c>
      <c r="AB71" s="857" t="e">
        <f t="shared" si="24"/>
        <v>#DIV/0!</v>
      </c>
      <c r="AC71" s="1352"/>
      <c r="AD71" s="1171" t="e">
        <f aca="true" t="shared" si="25" ref="AD71:AD77">Q71/P71%</f>
        <v>#DIV/0!</v>
      </c>
      <c r="AE71" s="1251"/>
      <c r="AF71" s="1171" t="e">
        <f aca="true" t="shared" si="26" ref="AF71:AF77">AC71/Q71%</f>
        <v>#DIV/0!</v>
      </c>
      <c r="AG71" s="856"/>
    </row>
    <row r="72" spans="1:33" ht="16.5">
      <c r="A72" s="561"/>
      <c r="B72" s="593" t="s">
        <v>461</v>
      </c>
      <c r="C72" s="1159" t="s">
        <v>6</v>
      </c>
      <c r="D72" s="1159">
        <v>76</v>
      </c>
      <c r="E72" s="1194">
        <f>'[5]BM1 (3)'!F67</f>
        <v>75.35</v>
      </c>
      <c r="F72" s="1194">
        <f>'[5]BM1 (3)'!G67</f>
        <v>81.5</v>
      </c>
      <c r="G72" s="1194">
        <f>'[5]BM1 (3)'!H67</f>
        <v>79.9</v>
      </c>
      <c r="H72" s="1194">
        <f>'[5]BM1 (3)'!I67</f>
        <v>85.4</v>
      </c>
      <c r="I72" s="1194">
        <v>86</v>
      </c>
      <c r="J72" s="1194">
        <v>86</v>
      </c>
      <c r="K72" s="1194">
        <v>89.5</v>
      </c>
      <c r="L72" s="1191">
        <f>K72</f>
        <v>89.5</v>
      </c>
      <c r="M72" s="1171">
        <f t="shared" si="15"/>
        <v>91</v>
      </c>
      <c r="N72" s="1171"/>
      <c r="O72" s="1171"/>
      <c r="P72" s="1289">
        <v>90</v>
      </c>
      <c r="Q72" s="1253">
        <v>90.4</v>
      </c>
      <c r="R72" s="1284">
        <f>'BM7 r'!F15</f>
        <v>88</v>
      </c>
      <c r="S72" s="1284">
        <f>'BM7 r'!G15</f>
        <v>89</v>
      </c>
      <c r="T72" s="1284">
        <f>'BM7 r'!H15</f>
        <v>90</v>
      </c>
      <c r="U72" s="1284">
        <f>'BM7 r'!I15</f>
        <v>91</v>
      </c>
      <c r="V72" s="1284">
        <f>U72</f>
        <v>91</v>
      </c>
      <c r="W72" s="1313"/>
      <c r="X72" s="1313"/>
      <c r="Y72" s="1313"/>
      <c r="Z72" s="1286">
        <f t="shared" si="2"/>
        <v>104.80093676814988</v>
      </c>
      <c r="AA72" s="1286">
        <f t="shared" si="3"/>
        <v>104.06976744186048</v>
      </c>
      <c r="AB72" s="857">
        <f t="shared" si="24"/>
        <v>101.00558659217877</v>
      </c>
      <c r="AC72" s="1353">
        <v>92</v>
      </c>
      <c r="AD72" s="1171">
        <f t="shared" si="25"/>
        <v>100.44444444444444</v>
      </c>
      <c r="AE72" s="1289"/>
      <c r="AF72" s="1171">
        <f t="shared" si="26"/>
        <v>101.76991150442477</v>
      </c>
      <c r="AG72" s="856"/>
    </row>
    <row r="73" spans="1:33" ht="16.5">
      <c r="A73" s="561"/>
      <c r="B73" s="593" t="s">
        <v>1019</v>
      </c>
      <c r="C73" s="1159" t="s">
        <v>6</v>
      </c>
      <c r="D73" s="1159"/>
      <c r="E73" s="1194"/>
      <c r="F73" s="1159"/>
      <c r="G73" s="1159"/>
      <c r="H73" s="1159">
        <v>100</v>
      </c>
      <c r="I73" s="1159">
        <v>100</v>
      </c>
      <c r="J73" s="1159"/>
      <c r="K73" s="1159">
        <v>100</v>
      </c>
      <c r="L73" s="1159"/>
      <c r="M73" s="1200"/>
      <c r="N73" s="1200"/>
      <c r="O73" s="1200"/>
      <c r="P73" s="1251">
        <v>100</v>
      </c>
      <c r="Q73" s="1284">
        <v>100</v>
      </c>
      <c r="R73" s="1284"/>
      <c r="S73" s="1284"/>
      <c r="T73" s="1284"/>
      <c r="U73" s="1284"/>
      <c r="V73" s="1310"/>
      <c r="W73" s="1311"/>
      <c r="X73" s="1311"/>
      <c r="Y73" s="1311"/>
      <c r="Z73" s="1286">
        <v>100</v>
      </c>
      <c r="AA73" s="1286">
        <v>100</v>
      </c>
      <c r="AB73" s="857">
        <v>100</v>
      </c>
      <c r="AC73" s="1352">
        <v>100</v>
      </c>
      <c r="AD73" s="1171">
        <f t="shared" si="25"/>
        <v>100</v>
      </c>
      <c r="AE73" s="1251"/>
      <c r="AF73" s="1171">
        <f t="shared" si="26"/>
        <v>100</v>
      </c>
      <c r="AG73" s="856"/>
    </row>
    <row r="74" spans="1:33" ht="16.5">
      <c r="A74" s="561"/>
      <c r="B74" s="1155" t="s">
        <v>944</v>
      </c>
      <c r="C74" s="1159" t="s">
        <v>6</v>
      </c>
      <c r="D74" s="1159">
        <v>96</v>
      </c>
      <c r="E74" s="1194">
        <f>'[5]BM1 (3)'!F69</f>
        <v>96</v>
      </c>
      <c r="F74" s="1194">
        <f>'[5]BM1 (3)'!G69</f>
        <v>96</v>
      </c>
      <c r="G74" s="1194">
        <f>'[5]BM1 (3)'!H69</f>
        <v>97</v>
      </c>
      <c r="H74" s="1194">
        <f>'[5]BM1 (3)'!I69</f>
        <v>98</v>
      </c>
      <c r="I74" s="1194">
        <v>98</v>
      </c>
      <c r="J74" s="1194">
        <v>98</v>
      </c>
      <c r="K74" s="1194">
        <v>98</v>
      </c>
      <c r="L74" s="1191">
        <f>K74</f>
        <v>98</v>
      </c>
      <c r="M74" s="1200">
        <f t="shared" si="15"/>
        <v>98</v>
      </c>
      <c r="N74" s="1200"/>
      <c r="O74" s="1200"/>
      <c r="P74" s="1251">
        <v>98</v>
      </c>
      <c r="Q74" s="1284">
        <v>99</v>
      </c>
      <c r="R74" s="1284">
        <f>'BM7 r'!F16</f>
        <v>98</v>
      </c>
      <c r="S74" s="1284">
        <f>'BM7 r'!G16</f>
        <v>98</v>
      </c>
      <c r="T74" s="1284">
        <f>'BM7 r'!H16</f>
        <v>98</v>
      </c>
      <c r="U74" s="1284">
        <v>98</v>
      </c>
      <c r="V74" s="1314">
        <f>U74</f>
        <v>98</v>
      </c>
      <c r="W74" s="1311"/>
      <c r="X74" s="1311"/>
      <c r="Y74" s="1311"/>
      <c r="Z74" s="1286">
        <f t="shared" si="2"/>
        <v>100</v>
      </c>
      <c r="AA74" s="1286">
        <f t="shared" si="3"/>
        <v>100</v>
      </c>
      <c r="AB74" s="857">
        <f t="shared" si="24"/>
        <v>101.0204081632653</v>
      </c>
      <c r="AC74" s="1352">
        <v>99</v>
      </c>
      <c r="AD74" s="1171">
        <f t="shared" si="25"/>
        <v>101.0204081632653</v>
      </c>
      <c r="AE74" s="1251"/>
      <c r="AF74" s="1171">
        <f t="shared" si="26"/>
        <v>100</v>
      </c>
      <c r="AG74" s="856"/>
    </row>
    <row r="75" spans="1:33" ht="16.5" hidden="1">
      <c r="A75" s="561"/>
      <c r="B75" s="567" t="s">
        <v>424</v>
      </c>
      <c r="C75" s="1159" t="s">
        <v>425</v>
      </c>
      <c r="D75" s="1159"/>
      <c r="E75" s="1159"/>
      <c r="F75" s="1159"/>
      <c r="G75" s="1159"/>
      <c r="H75" s="1159"/>
      <c r="I75" s="1159"/>
      <c r="J75" s="1159"/>
      <c r="K75" s="1159"/>
      <c r="L75" s="1159"/>
      <c r="M75" s="1200">
        <f t="shared" si="15"/>
        <v>0</v>
      </c>
      <c r="N75" s="1200"/>
      <c r="O75" s="1200"/>
      <c r="P75" s="1251"/>
      <c r="Q75" s="1284"/>
      <c r="R75" s="1284"/>
      <c r="S75" s="1284"/>
      <c r="T75" s="1284"/>
      <c r="U75" s="1284"/>
      <c r="V75" s="1310"/>
      <c r="W75" s="1311"/>
      <c r="X75" s="1311"/>
      <c r="Y75" s="1311"/>
      <c r="Z75" s="1286" t="e">
        <f t="shared" si="2"/>
        <v>#DIV/0!</v>
      </c>
      <c r="AA75" s="1286" t="e">
        <f t="shared" si="3"/>
        <v>#DIV/0!</v>
      </c>
      <c r="AB75" s="857" t="e">
        <f t="shared" si="24"/>
        <v>#DIV/0!</v>
      </c>
      <c r="AC75" s="1352"/>
      <c r="AD75" s="1171" t="e">
        <f t="shared" si="25"/>
        <v>#DIV/0!</v>
      </c>
      <c r="AE75" s="1251"/>
      <c r="AF75" s="1171" t="e">
        <f t="shared" si="26"/>
        <v>#DIV/0!</v>
      </c>
      <c r="AG75" s="856"/>
    </row>
    <row r="76" spans="1:33" ht="16.5">
      <c r="A76" s="561"/>
      <c r="B76" s="593" t="s">
        <v>423</v>
      </c>
      <c r="C76" s="1159" t="s">
        <v>6</v>
      </c>
      <c r="D76" s="1159">
        <f>'BM7 r'!D20</f>
        <v>0</v>
      </c>
      <c r="E76" s="1194" t="e">
        <f>'[5]BM1 (3)'!F72</f>
        <v>#REF!</v>
      </c>
      <c r="F76" s="1159"/>
      <c r="G76" s="1159"/>
      <c r="H76" s="1159">
        <v>99.1</v>
      </c>
      <c r="I76" s="1159">
        <v>99.1</v>
      </c>
      <c r="J76" s="1159"/>
      <c r="K76" s="1159">
        <v>99.1</v>
      </c>
      <c r="L76" s="1159"/>
      <c r="M76" s="1200">
        <f>V76</f>
        <v>0</v>
      </c>
      <c r="N76" s="1200"/>
      <c r="O76" s="1200"/>
      <c r="P76" s="1251">
        <v>99.1</v>
      </c>
      <c r="Q76" s="1284">
        <v>99.1</v>
      </c>
      <c r="R76" s="1284"/>
      <c r="S76" s="1284"/>
      <c r="T76" s="1284"/>
      <c r="U76" s="1284"/>
      <c r="V76" s="1310"/>
      <c r="W76" s="1311"/>
      <c r="X76" s="1311"/>
      <c r="Y76" s="1311"/>
      <c r="Z76" s="1286">
        <f>(K76/H76)*100</f>
        <v>100</v>
      </c>
      <c r="AA76" s="1286">
        <f>(K76/I76)*100</f>
        <v>100</v>
      </c>
      <c r="AB76" s="857">
        <f>(Q76/K76)*100</f>
        <v>100</v>
      </c>
      <c r="AC76" s="1352">
        <v>99.1</v>
      </c>
      <c r="AD76" s="1171">
        <f t="shared" si="25"/>
        <v>100</v>
      </c>
      <c r="AE76" s="1251"/>
      <c r="AF76" s="1171">
        <f t="shared" si="26"/>
        <v>100</v>
      </c>
      <c r="AG76" s="856"/>
    </row>
    <row r="77" spans="1:33" ht="16.5">
      <c r="A77" s="561"/>
      <c r="B77" s="567" t="s">
        <v>1020</v>
      </c>
      <c r="C77" s="1159" t="s">
        <v>425</v>
      </c>
      <c r="D77" s="1159"/>
      <c r="E77" s="1159"/>
      <c r="F77" s="1159"/>
      <c r="G77" s="1159"/>
      <c r="H77" s="1159">
        <v>12</v>
      </c>
      <c r="I77" s="1159">
        <v>12</v>
      </c>
      <c r="J77" s="1159"/>
      <c r="K77" s="1159">
        <v>12</v>
      </c>
      <c r="L77" s="1159"/>
      <c r="M77" s="1200"/>
      <c r="N77" s="1200"/>
      <c r="O77" s="1200"/>
      <c r="P77" s="1251">
        <v>12</v>
      </c>
      <c r="Q77" s="1284">
        <v>12</v>
      </c>
      <c r="R77" s="1284"/>
      <c r="S77" s="1284"/>
      <c r="T77" s="1284"/>
      <c r="U77" s="1284"/>
      <c r="V77" s="1310"/>
      <c r="W77" s="1311"/>
      <c r="X77" s="1311"/>
      <c r="Y77" s="1311"/>
      <c r="Z77" s="1286">
        <v>100</v>
      </c>
      <c r="AA77" s="1286">
        <v>100</v>
      </c>
      <c r="AB77" s="857">
        <v>100</v>
      </c>
      <c r="AC77" s="1352">
        <v>12</v>
      </c>
      <c r="AD77" s="1171">
        <f t="shared" si="25"/>
        <v>100</v>
      </c>
      <c r="AE77" s="1251"/>
      <c r="AF77" s="1171">
        <f t="shared" si="26"/>
        <v>100</v>
      </c>
      <c r="AG77" s="856"/>
    </row>
    <row r="78" spans="1:33" s="1218" customFormat="1" ht="16.5">
      <c r="A78" s="1214">
        <v>3</v>
      </c>
      <c r="B78" s="1215" t="s">
        <v>173</v>
      </c>
      <c r="C78" s="1216"/>
      <c r="D78" s="1216"/>
      <c r="E78" s="1216"/>
      <c r="F78" s="1216"/>
      <c r="G78" s="1216"/>
      <c r="H78" s="1216"/>
      <c r="I78" s="1216"/>
      <c r="J78" s="1216"/>
      <c r="K78" s="1216"/>
      <c r="L78" s="1216"/>
      <c r="M78" s="1236"/>
      <c r="N78" s="1236"/>
      <c r="O78" s="1236"/>
      <c r="P78" s="1236"/>
      <c r="Q78" s="1216"/>
      <c r="R78" s="1216"/>
      <c r="S78" s="1216"/>
      <c r="T78" s="1216"/>
      <c r="U78" s="1216"/>
      <c r="V78" s="1238"/>
      <c r="W78" s="579"/>
      <c r="X78" s="579"/>
      <c r="Y78" s="579"/>
      <c r="Z78" s="1223"/>
      <c r="AA78" s="1223"/>
      <c r="AB78" s="1224"/>
      <c r="AC78" s="1334"/>
      <c r="AD78" s="1236"/>
      <c r="AE78" s="1236"/>
      <c r="AF78" s="1236"/>
      <c r="AG78" s="1224"/>
    </row>
    <row r="79" spans="1:33" s="1130" customFormat="1" ht="16.5">
      <c r="A79" s="1126"/>
      <c r="B79" s="1127" t="s">
        <v>426</v>
      </c>
      <c r="C79" s="1221" t="s">
        <v>6</v>
      </c>
      <c r="D79" s="1221">
        <v>100</v>
      </c>
      <c r="E79" s="1221">
        <v>100</v>
      </c>
      <c r="F79" s="1221">
        <v>100</v>
      </c>
      <c r="G79" s="1221">
        <v>100</v>
      </c>
      <c r="H79" s="1221">
        <v>100</v>
      </c>
      <c r="I79" s="1221">
        <v>100</v>
      </c>
      <c r="J79" s="1221">
        <v>100</v>
      </c>
      <c r="K79" s="1221">
        <v>100</v>
      </c>
      <c r="L79" s="1221">
        <v>100</v>
      </c>
      <c r="M79" s="1236">
        <f t="shared" si="15"/>
        <v>100</v>
      </c>
      <c r="N79" s="1236"/>
      <c r="O79" s="1236"/>
      <c r="P79" s="1305">
        <v>100</v>
      </c>
      <c r="Q79" s="1304">
        <v>100</v>
      </c>
      <c r="R79" s="1221">
        <v>100</v>
      </c>
      <c r="S79" s="1221">
        <v>100</v>
      </c>
      <c r="T79" s="1221">
        <v>100</v>
      </c>
      <c r="U79" s="1221">
        <v>100</v>
      </c>
      <c r="V79" s="1222">
        <v>100</v>
      </c>
      <c r="W79" s="573"/>
      <c r="X79" s="573"/>
      <c r="Y79" s="573"/>
      <c r="Z79" s="1223">
        <f t="shared" si="2"/>
        <v>100</v>
      </c>
      <c r="AA79" s="1223">
        <f t="shared" si="3"/>
        <v>100</v>
      </c>
      <c r="AB79" s="1224">
        <f>(Q79/K79)*100</f>
        <v>100</v>
      </c>
      <c r="AC79" s="1330">
        <v>100</v>
      </c>
      <c r="AD79" s="1305">
        <f>Q79/P79%</f>
        <v>100</v>
      </c>
      <c r="AE79" s="1305"/>
      <c r="AF79" s="1305">
        <f>AC79/Q79%</f>
        <v>100</v>
      </c>
      <c r="AG79" s="1224"/>
    </row>
    <row r="80" spans="1:33" s="1130" customFormat="1" ht="16.5">
      <c r="A80" s="1126"/>
      <c r="B80" s="1127" t="s">
        <v>427</v>
      </c>
      <c r="C80" s="1221" t="s">
        <v>428</v>
      </c>
      <c r="D80" s="1271">
        <v>10.1</v>
      </c>
      <c r="E80" s="1271">
        <f>'[5]BM1 (3)'!F73</f>
        <v>11.4</v>
      </c>
      <c r="F80" s="1271">
        <f>'[5]BM1 (3)'!G73</f>
        <v>11.9</v>
      </c>
      <c r="G80" s="1271">
        <f>'[5]BM1 (3)'!H73</f>
        <v>11.5</v>
      </c>
      <c r="H80" s="1271">
        <f>'[5]BM1 (3)'!I73</f>
        <v>12.7</v>
      </c>
      <c r="I80" s="1271">
        <v>20.1</v>
      </c>
      <c r="J80" s="1271">
        <v>20.4</v>
      </c>
      <c r="K80" s="1271">
        <v>20.1</v>
      </c>
      <c r="L80" s="1271">
        <f aca="true" t="shared" si="27" ref="L80:L86">K80</f>
        <v>20.1</v>
      </c>
      <c r="M80" s="1395">
        <f t="shared" si="15"/>
        <v>20.8</v>
      </c>
      <c r="N80" s="1395"/>
      <c r="O80" s="1395"/>
      <c r="P80" s="1427">
        <v>20.5</v>
      </c>
      <c r="Q80" s="1294">
        <v>20.4</v>
      </c>
      <c r="R80" s="1271">
        <f>'BM8r'!F73</f>
        <v>20</v>
      </c>
      <c r="S80" s="1271">
        <f>'BM8r'!G73</f>
        <v>20.3</v>
      </c>
      <c r="T80" s="1271">
        <f>'BM8r'!H73</f>
        <v>20.5</v>
      </c>
      <c r="U80" s="1271">
        <f>'BM8r'!I73</f>
        <v>20.8</v>
      </c>
      <c r="V80" s="1428">
        <f>U80</f>
        <v>20.8</v>
      </c>
      <c r="W80" s="573"/>
      <c r="X80" s="573"/>
      <c r="Y80" s="573"/>
      <c r="Z80" s="1223">
        <f t="shared" si="2"/>
        <v>158.2677165354331</v>
      </c>
      <c r="AA80" s="1223">
        <f t="shared" si="3"/>
        <v>100</v>
      </c>
      <c r="AB80" s="1224">
        <f>(Q80/K80)*100</f>
        <v>101.49253731343282</v>
      </c>
      <c r="AC80" s="1331">
        <v>20.5</v>
      </c>
      <c r="AD80" s="1309">
        <f aca="true" t="shared" si="28" ref="AD80:AD86">Q80/P80%</f>
        <v>99.51219512195122</v>
      </c>
      <c r="AE80" s="1429"/>
      <c r="AF80" s="1305">
        <f aca="true" t="shared" si="29" ref="AF80:AF86">AC80/Q80%</f>
        <v>100.49019607843138</v>
      </c>
      <c r="AG80" s="1224"/>
    </row>
    <row r="81" spans="1:33" s="1130" customFormat="1" ht="16.5">
      <c r="A81" s="1126"/>
      <c r="B81" s="1127" t="s">
        <v>429</v>
      </c>
      <c r="C81" s="1221" t="s">
        <v>430</v>
      </c>
      <c r="D81" s="1271">
        <v>2.2</v>
      </c>
      <c r="E81" s="1271">
        <f>'[5]BM1 (3)'!F74</f>
        <v>3.9</v>
      </c>
      <c r="F81" s="1271">
        <f>'[5]BM1 (3)'!G74</f>
        <v>4.01</v>
      </c>
      <c r="G81" s="1271">
        <f>'[5]BM1 (3)'!H74</f>
        <v>5.07</v>
      </c>
      <c r="H81" s="1271">
        <f>'[5]BM1 (3)'!I74</f>
        <v>5.07</v>
      </c>
      <c r="I81" s="1271">
        <v>5.1</v>
      </c>
      <c r="J81" s="1271">
        <f>I81</f>
        <v>5.1</v>
      </c>
      <c r="K81" s="1271">
        <v>5.08</v>
      </c>
      <c r="L81" s="1271">
        <f t="shared" si="27"/>
        <v>5.08</v>
      </c>
      <c r="M81" s="1395">
        <f t="shared" si="15"/>
        <v>5.6</v>
      </c>
      <c r="N81" s="1395"/>
      <c r="O81" s="1395"/>
      <c r="P81" s="1429">
        <v>5.08</v>
      </c>
      <c r="Q81" s="1430">
        <v>5.4</v>
      </c>
      <c r="R81" s="1271">
        <f>'BM8r'!F76</f>
        <v>5.3</v>
      </c>
      <c r="S81" s="1271">
        <f>'BM8r'!G76</f>
        <v>5.4</v>
      </c>
      <c r="T81" s="1271">
        <f>'BM8r'!H76</f>
        <v>5.5</v>
      </c>
      <c r="U81" s="1315">
        <f>'BM8r'!I76</f>
        <v>5.6</v>
      </c>
      <c r="V81" s="1431">
        <f>U81</f>
        <v>5.6</v>
      </c>
      <c r="W81" s="573"/>
      <c r="X81" s="573"/>
      <c r="Y81" s="573"/>
      <c r="Z81" s="1223">
        <f aca="true" t="shared" si="30" ref="Z81:Z126">(K81/H81)*100</f>
        <v>100.19723865877712</v>
      </c>
      <c r="AA81" s="1223">
        <f aca="true" t="shared" si="31" ref="AA81:AA126">(K81/I81)*100</f>
        <v>99.60784313725492</v>
      </c>
      <c r="AB81" s="1224">
        <f aca="true" t="shared" si="32" ref="AB81:AB126">(Q81/K81)*100</f>
        <v>106.29921259842521</v>
      </c>
      <c r="AC81" s="1331">
        <v>5.4</v>
      </c>
      <c r="AD81" s="1305">
        <f t="shared" si="28"/>
        <v>106.29921259842521</v>
      </c>
      <c r="AE81" s="1429"/>
      <c r="AF81" s="1305">
        <f t="shared" si="29"/>
        <v>100</v>
      </c>
      <c r="AG81" s="1224"/>
    </row>
    <row r="82" spans="1:33" s="1130" customFormat="1" ht="16.5">
      <c r="A82" s="1126"/>
      <c r="B82" s="1239" t="s">
        <v>431</v>
      </c>
      <c r="C82" s="1221" t="s">
        <v>6</v>
      </c>
      <c r="D82" s="1271">
        <v>8.3</v>
      </c>
      <c r="E82" s="1271">
        <f>'[5]BM1 (3)'!F75</f>
        <v>31.66</v>
      </c>
      <c r="F82" s="1271">
        <f>'[5]BM1 (3)'!G75</f>
        <v>33.3</v>
      </c>
      <c r="G82" s="1271">
        <f>'[5]BM1 (3)'!H75</f>
        <v>41.6</v>
      </c>
      <c r="H82" s="1271">
        <f>'[5]BM1 (3)'!I75</f>
        <v>66.6</v>
      </c>
      <c r="I82" s="1271">
        <v>83.33</v>
      </c>
      <c r="J82" s="1271">
        <v>66.6</v>
      </c>
      <c r="K82" s="1432">
        <v>66.6</v>
      </c>
      <c r="L82" s="1432">
        <f t="shared" si="27"/>
        <v>66.6</v>
      </c>
      <c r="M82" s="1236">
        <f t="shared" si="15"/>
        <v>100</v>
      </c>
      <c r="N82" s="1236"/>
      <c r="O82" s="1236"/>
      <c r="P82" s="1309">
        <v>83.3</v>
      </c>
      <c r="Q82" s="1287">
        <v>100</v>
      </c>
      <c r="R82" s="1271">
        <f>'BM8r'!F83</f>
        <v>100</v>
      </c>
      <c r="S82" s="1271">
        <f>'BM8r'!G83</f>
        <v>100</v>
      </c>
      <c r="T82" s="1271">
        <f>'BM8r'!H83</f>
        <v>100</v>
      </c>
      <c r="U82" s="1271">
        <f>'BM8r'!I83</f>
        <v>100</v>
      </c>
      <c r="V82" s="1419">
        <f>'BM8r'!J83</f>
        <v>100</v>
      </c>
      <c r="W82" s="573"/>
      <c r="X82" s="573"/>
      <c r="Y82" s="573"/>
      <c r="Z82" s="1223">
        <f t="shared" si="30"/>
        <v>100</v>
      </c>
      <c r="AA82" s="1223">
        <f t="shared" si="31"/>
        <v>79.9231969278771</v>
      </c>
      <c r="AB82" s="1224">
        <f t="shared" si="32"/>
        <v>150.15015015015015</v>
      </c>
      <c r="AC82" s="1330">
        <v>100</v>
      </c>
      <c r="AD82" s="1305">
        <f t="shared" si="28"/>
        <v>120.04801920768308</v>
      </c>
      <c r="AE82" s="1305"/>
      <c r="AF82" s="1305">
        <f t="shared" si="29"/>
        <v>100</v>
      </c>
      <c r="AG82" s="1224"/>
    </row>
    <row r="83" spans="1:33" s="1228" customFormat="1" ht="16.5">
      <c r="A83" s="1081"/>
      <c r="B83" s="1234" t="s">
        <v>432</v>
      </c>
      <c r="C83" s="1188" t="s">
        <v>6</v>
      </c>
      <c r="D83" s="1231">
        <v>96</v>
      </c>
      <c r="E83" s="1271">
        <f>'[5]BM1 (3)'!F76</f>
        <v>92</v>
      </c>
      <c r="F83" s="1271">
        <f>'[5]BM1 (3)'!G76</f>
        <v>95.9</v>
      </c>
      <c r="G83" s="1271">
        <f>'[5]BM1 (3)'!H76</f>
        <v>92.4</v>
      </c>
      <c r="H83" s="1432">
        <f>'[5]BM1 (3)'!I76</f>
        <v>70.8</v>
      </c>
      <c r="I83" s="1432">
        <v>80</v>
      </c>
      <c r="J83" s="1432"/>
      <c r="K83" s="1432">
        <v>90</v>
      </c>
      <c r="L83" s="1433">
        <f t="shared" si="27"/>
        <v>90</v>
      </c>
      <c r="M83" s="1236">
        <v>90</v>
      </c>
      <c r="N83" s="1236"/>
      <c r="O83" s="1236"/>
      <c r="P83" s="1305">
        <v>90</v>
      </c>
      <c r="Q83" s="1434">
        <v>90</v>
      </c>
      <c r="R83" s="1231" t="str">
        <f>'BM8r'!F82</f>
        <v>&gt;90</v>
      </c>
      <c r="S83" s="1231" t="str">
        <f>'BM8r'!G82</f>
        <v>&gt;90</v>
      </c>
      <c r="T83" s="1231" t="str">
        <f>'BM8r'!H82</f>
        <v>&gt;90</v>
      </c>
      <c r="U83" s="1231" t="str">
        <f>'BM8r'!I82</f>
        <v>&gt;90</v>
      </c>
      <c r="V83" s="1435" t="str">
        <f>'BM8r'!J82</f>
        <v>&gt;90</v>
      </c>
      <c r="W83" s="1436">
        <f>'BM8r'!K82</f>
        <v>0</v>
      </c>
      <c r="X83" s="1436">
        <f>'BM8r'!L82</f>
        <v>0</v>
      </c>
      <c r="Y83" s="1436"/>
      <c r="Z83" s="1223">
        <f t="shared" si="30"/>
        <v>127.11864406779661</v>
      </c>
      <c r="AA83" s="1223">
        <f t="shared" si="31"/>
        <v>112.5</v>
      </c>
      <c r="AB83" s="1224">
        <f t="shared" si="32"/>
        <v>100</v>
      </c>
      <c r="AC83" s="1330">
        <v>90</v>
      </c>
      <c r="AD83" s="1305">
        <f t="shared" si="28"/>
        <v>100</v>
      </c>
      <c r="AE83" s="1305"/>
      <c r="AF83" s="1305">
        <f t="shared" si="29"/>
        <v>100</v>
      </c>
      <c r="AG83" s="1224"/>
    </row>
    <row r="84" spans="1:33" s="1130" customFormat="1" ht="16.5">
      <c r="A84" s="1126"/>
      <c r="B84" s="1239" t="s">
        <v>433</v>
      </c>
      <c r="C84" s="1221" t="s">
        <v>6</v>
      </c>
      <c r="D84" s="1271">
        <v>27</v>
      </c>
      <c r="E84" s="1271">
        <f>'[5]BM1 (3)'!F77</f>
        <v>25.4</v>
      </c>
      <c r="F84" s="1271">
        <f>'[5]BM1 (3)'!G77</f>
        <v>23.5</v>
      </c>
      <c r="G84" s="1271">
        <f>'[5]BM1 (3)'!H77</f>
        <v>22.3</v>
      </c>
      <c r="H84" s="1432">
        <f>'[5]BM1 (3)'!I77</f>
        <v>21.8</v>
      </c>
      <c r="I84" s="1432">
        <v>21.3</v>
      </c>
      <c r="J84" s="1432"/>
      <c r="K84" s="1432">
        <v>20.5</v>
      </c>
      <c r="L84" s="1432">
        <f t="shared" si="27"/>
        <v>20.5</v>
      </c>
      <c r="M84" s="1433">
        <f t="shared" si="15"/>
        <v>18</v>
      </c>
      <c r="N84" s="1433"/>
      <c r="O84" s="1433"/>
      <c r="P84" s="1421">
        <v>20.3</v>
      </c>
      <c r="Q84" s="1430">
        <v>19.8</v>
      </c>
      <c r="R84" s="1271">
        <f>'BM8r'!F80</f>
        <v>20.3</v>
      </c>
      <c r="S84" s="1271">
        <f>'BM8r'!G80</f>
        <v>19.5</v>
      </c>
      <c r="T84" s="1271">
        <f>'BM8r'!H80</f>
        <v>19</v>
      </c>
      <c r="U84" s="1271">
        <f>'BM8r'!I80</f>
        <v>18</v>
      </c>
      <c r="V84" s="1419">
        <f>'BM8r'!J80</f>
        <v>18</v>
      </c>
      <c r="W84" s="573"/>
      <c r="X84" s="573"/>
      <c r="Y84" s="573"/>
      <c r="Z84" s="1223">
        <f t="shared" si="30"/>
        <v>94.03669724770643</v>
      </c>
      <c r="AA84" s="1223">
        <f t="shared" si="31"/>
        <v>96.24413145539906</v>
      </c>
      <c r="AB84" s="1224">
        <f t="shared" si="32"/>
        <v>96.58536585365854</v>
      </c>
      <c r="AC84" s="1337">
        <v>19.8</v>
      </c>
      <c r="AD84" s="1305">
        <f t="shared" si="28"/>
        <v>97.53694581280787</v>
      </c>
      <c r="AE84" s="1421"/>
      <c r="AF84" s="1305">
        <f t="shared" si="29"/>
        <v>100</v>
      </c>
      <c r="AG84" s="1224"/>
    </row>
    <row r="85" spans="1:33" s="1130" customFormat="1" ht="16.5">
      <c r="A85" s="1126"/>
      <c r="B85" s="1437" t="s">
        <v>972</v>
      </c>
      <c r="C85" s="1221" t="s">
        <v>6</v>
      </c>
      <c r="D85" s="1271"/>
      <c r="E85" s="1271"/>
      <c r="F85" s="1271"/>
      <c r="G85" s="1271">
        <f>'[5]BM1 (3)'!H78</f>
        <v>8.3</v>
      </c>
      <c r="H85" s="1432">
        <f>'[5]BM1 (3)'!I78</f>
        <v>16.6</v>
      </c>
      <c r="I85" s="1432">
        <v>25</v>
      </c>
      <c r="J85" s="1432"/>
      <c r="K85" s="1432">
        <f>3/12%</f>
        <v>25</v>
      </c>
      <c r="L85" s="1432">
        <f t="shared" si="27"/>
        <v>25</v>
      </c>
      <c r="M85" s="1433">
        <f t="shared" si="15"/>
        <v>75</v>
      </c>
      <c r="N85" s="1433"/>
      <c r="O85" s="1433"/>
      <c r="P85" s="1421">
        <v>41.733</v>
      </c>
      <c r="Q85" s="1430">
        <v>41.733</v>
      </c>
      <c r="R85" s="1271">
        <f>'BM8r'!F81</f>
        <v>41.6</v>
      </c>
      <c r="S85" s="1271">
        <f>'BM8r'!G81</f>
        <v>58.3</v>
      </c>
      <c r="T85" s="1271">
        <f>'BM8r'!H81</f>
        <v>66</v>
      </c>
      <c r="U85" s="1271">
        <f>'BM8r'!I81</f>
        <v>75</v>
      </c>
      <c r="V85" s="1419">
        <f>U85</f>
        <v>75</v>
      </c>
      <c r="W85" s="1227"/>
      <c r="X85" s="1227"/>
      <c r="Y85" s="1227"/>
      <c r="Z85" s="1223">
        <f t="shared" si="30"/>
        <v>150.6024096385542</v>
      </c>
      <c r="AA85" s="1223">
        <f t="shared" si="31"/>
        <v>100</v>
      </c>
      <c r="AB85" s="1224">
        <f t="shared" si="32"/>
        <v>166.932</v>
      </c>
      <c r="AC85" s="1337">
        <v>58.3</v>
      </c>
      <c r="AD85" s="1305">
        <f t="shared" si="28"/>
        <v>100</v>
      </c>
      <c r="AE85" s="1421"/>
      <c r="AF85" s="1305">
        <f t="shared" si="29"/>
        <v>139.6976014185417</v>
      </c>
      <c r="AG85" s="1224"/>
    </row>
    <row r="86" spans="1:33" s="1130" customFormat="1" ht="16.5">
      <c r="A86" s="1126"/>
      <c r="B86" s="1239" t="s">
        <v>434</v>
      </c>
      <c r="C86" s="1221" t="s">
        <v>6</v>
      </c>
      <c r="D86" s="1271">
        <v>56</v>
      </c>
      <c r="E86" s="1271">
        <f>'[5]BM1 (3)'!F79</f>
        <v>62</v>
      </c>
      <c r="F86" s="1271">
        <f>'[5]BM1 (3)'!G79</f>
        <v>67</v>
      </c>
      <c r="G86" s="1271">
        <f>'[5]BM1 (3)'!H79</f>
        <v>63</v>
      </c>
      <c r="H86" s="1271">
        <f>'[5]BM1 (3)'!I79</f>
        <v>68.4</v>
      </c>
      <c r="I86" s="1271">
        <v>70</v>
      </c>
      <c r="J86" s="1271">
        <v>68.1</v>
      </c>
      <c r="K86" s="1271">
        <v>80.7</v>
      </c>
      <c r="L86" s="1271">
        <f t="shared" si="27"/>
        <v>80.7</v>
      </c>
      <c r="M86" s="1415">
        <f t="shared" si="15"/>
        <v>80</v>
      </c>
      <c r="N86" s="1415"/>
      <c r="O86" s="1415"/>
      <c r="P86" s="1292">
        <v>82</v>
      </c>
      <c r="Q86" s="1430">
        <v>83.2</v>
      </c>
      <c r="R86" s="1271">
        <f>'BM8r'!F84</f>
        <v>73.8</v>
      </c>
      <c r="S86" s="1271">
        <f>'BM8r'!G84</f>
        <v>75</v>
      </c>
      <c r="T86" s="1271">
        <f>'BM8r'!H84</f>
        <v>77</v>
      </c>
      <c r="U86" s="1271">
        <f>'BM8r'!I84</f>
        <v>80</v>
      </c>
      <c r="V86" s="1419">
        <f>'BM8r'!J84</f>
        <v>80</v>
      </c>
      <c r="W86" s="573"/>
      <c r="X86" s="573"/>
      <c r="Y86" s="573"/>
      <c r="Z86" s="1223">
        <f t="shared" si="30"/>
        <v>117.98245614035088</v>
      </c>
      <c r="AA86" s="1223">
        <f t="shared" si="31"/>
        <v>115.28571428571428</v>
      </c>
      <c r="AB86" s="1224">
        <f t="shared" si="32"/>
        <v>103.09789343246591</v>
      </c>
      <c r="AC86" s="1287">
        <v>85</v>
      </c>
      <c r="AD86" s="1305">
        <f t="shared" si="28"/>
        <v>101.46341463414635</v>
      </c>
      <c r="AE86" s="1292"/>
      <c r="AF86" s="1305">
        <f t="shared" si="29"/>
        <v>102.16346153846153</v>
      </c>
      <c r="AG86" s="1224"/>
    </row>
    <row r="87" spans="1:33" s="564" customFormat="1" ht="16.5">
      <c r="A87" s="562">
        <v>4</v>
      </c>
      <c r="B87" s="563" t="s">
        <v>435</v>
      </c>
      <c r="C87" s="1157"/>
      <c r="D87" s="1157"/>
      <c r="E87" s="1157"/>
      <c r="F87" s="1157"/>
      <c r="G87" s="1157"/>
      <c r="H87" s="1157"/>
      <c r="I87" s="1157"/>
      <c r="J87" s="1157"/>
      <c r="K87" s="1157"/>
      <c r="L87" s="1157"/>
      <c r="M87" s="1200"/>
      <c r="N87" s="1200"/>
      <c r="O87" s="1200"/>
      <c r="P87" s="1200"/>
      <c r="Q87" s="1157"/>
      <c r="R87" s="1157"/>
      <c r="S87" s="1157"/>
      <c r="T87" s="1157"/>
      <c r="U87" s="1157"/>
      <c r="V87" s="1173"/>
      <c r="W87" s="566"/>
      <c r="X87" s="566"/>
      <c r="Y87" s="566"/>
      <c r="Z87" s="1195"/>
      <c r="AA87" s="1195"/>
      <c r="AB87" s="856"/>
      <c r="AC87" s="1369"/>
      <c r="AD87" s="1200"/>
      <c r="AE87" s="1200"/>
      <c r="AF87" s="1200"/>
      <c r="AG87" s="856"/>
    </row>
    <row r="88" spans="1:33" s="572" customFormat="1" ht="16.5">
      <c r="A88" s="569"/>
      <c r="B88" s="927" t="s">
        <v>925</v>
      </c>
      <c r="C88" s="1179" t="s">
        <v>1025</v>
      </c>
      <c r="D88" s="1167">
        <f>'[5]BM8 c'!$D$45</f>
        <v>34.302</v>
      </c>
      <c r="E88" s="1167">
        <f>'[5]BM8 c'!F45</f>
        <v>34.435</v>
      </c>
      <c r="F88" s="1167">
        <f>'[5]BM8 c'!G45</f>
        <v>35.377</v>
      </c>
      <c r="G88" s="1167">
        <f>'[5]BM8 c'!H45</f>
        <v>36.635</v>
      </c>
      <c r="H88" s="1167">
        <f>'[5]BM8 c'!I45</f>
        <v>38.875</v>
      </c>
      <c r="I88" s="1167">
        <v>39.18</v>
      </c>
      <c r="J88" s="1167"/>
      <c r="K88" s="1167">
        <f>I88</f>
        <v>39.18</v>
      </c>
      <c r="L88" s="1167">
        <f>K88</f>
        <v>39.18</v>
      </c>
      <c r="M88" s="1181">
        <f t="shared" si="15"/>
        <v>43.813</v>
      </c>
      <c r="N88" s="1181"/>
      <c r="O88" s="1181"/>
      <c r="P88" s="1288">
        <v>39.21</v>
      </c>
      <c r="Q88" s="1167">
        <v>39.59</v>
      </c>
      <c r="R88" s="1167">
        <f>'BM8r'!F48</f>
        <v>40.356</v>
      </c>
      <c r="S88" s="1167">
        <f>'BM8r'!G48</f>
        <v>41.562</v>
      </c>
      <c r="T88" s="1167">
        <f>'BM8r'!H48</f>
        <v>42.712</v>
      </c>
      <c r="U88" s="1167">
        <f>'BM8r'!I48</f>
        <v>43.813</v>
      </c>
      <c r="V88" s="1178">
        <f>U88</f>
        <v>43.813</v>
      </c>
      <c r="W88" s="571"/>
      <c r="X88" s="571"/>
      <c r="Y88" s="571"/>
      <c r="Z88" s="1195">
        <f t="shared" si="30"/>
        <v>100.7845659163987</v>
      </c>
      <c r="AA88" s="1195">
        <f t="shared" si="31"/>
        <v>100</v>
      </c>
      <c r="AB88" s="856">
        <f t="shared" si="32"/>
        <v>101.04645227156715</v>
      </c>
      <c r="AC88" s="1371">
        <v>40.69</v>
      </c>
      <c r="AD88" s="1171">
        <f aca="true" t="shared" si="33" ref="AD88:AD93">Q88/P88%</f>
        <v>100.96914052537619</v>
      </c>
      <c r="AE88" s="1171"/>
      <c r="AF88" s="1171">
        <f aca="true" t="shared" si="34" ref="AF88:AF93">AC88/Q88%</f>
        <v>102.77847941399342</v>
      </c>
      <c r="AG88" s="856"/>
    </row>
    <row r="89" spans="1:33" ht="16.5">
      <c r="A89" s="561"/>
      <c r="B89" s="666" t="s">
        <v>663</v>
      </c>
      <c r="C89" s="605" t="s">
        <v>662</v>
      </c>
      <c r="D89" s="1162">
        <v>1.2</v>
      </c>
      <c r="E89" s="1162">
        <f>'[5]BM8 c'!F47</f>
        <v>1.42</v>
      </c>
      <c r="F89" s="1162">
        <f>'[5]BM8 c'!G47</f>
        <v>1.488</v>
      </c>
      <c r="G89" s="1162">
        <f>'[5]BM8 c'!H47</f>
        <v>1.502</v>
      </c>
      <c r="H89" s="1162">
        <f>'[5]BM8 c'!I47</f>
        <v>1.51</v>
      </c>
      <c r="I89" s="1162">
        <v>1.52</v>
      </c>
      <c r="J89" s="1162"/>
      <c r="K89" s="1162">
        <v>1.52</v>
      </c>
      <c r="L89" s="1162">
        <f>K89</f>
        <v>1.52</v>
      </c>
      <c r="M89" s="1181">
        <f t="shared" si="15"/>
        <v>0.711</v>
      </c>
      <c r="N89" s="1181"/>
      <c r="O89" s="1181"/>
      <c r="P89" s="1288">
        <v>1.046</v>
      </c>
      <c r="Q89" s="1162">
        <f>P89</f>
        <v>1.046</v>
      </c>
      <c r="R89" s="1162">
        <f>'BM8r'!F50</f>
        <v>0.951</v>
      </c>
      <c r="S89" s="1162">
        <f>'BM8r'!G50</f>
        <v>0.889</v>
      </c>
      <c r="T89" s="1162">
        <f>'BM8r'!H50</f>
        <v>0.81</v>
      </c>
      <c r="U89" s="1162">
        <f>'BM8r'!I50</f>
        <v>0.711</v>
      </c>
      <c r="V89" s="1174">
        <f>'BM8r'!J50</f>
        <v>0.711</v>
      </c>
      <c r="W89" s="568"/>
      <c r="X89" s="568"/>
      <c r="Y89" s="568"/>
      <c r="Z89" s="1195">
        <f t="shared" si="30"/>
        <v>100.66225165562915</v>
      </c>
      <c r="AA89" s="1195">
        <f t="shared" si="31"/>
        <v>100</v>
      </c>
      <c r="AB89" s="856">
        <f t="shared" si="32"/>
        <v>68.8157894736842</v>
      </c>
      <c r="AC89" s="1371">
        <v>0.95</v>
      </c>
      <c r="AD89" s="1171">
        <f t="shared" si="33"/>
        <v>100</v>
      </c>
      <c r="AE89" s="1171"/>
      <c r="AF89" s="1171">
        <f t="shared" si="34"/>
        <v>90.82217973231357</v>
      </c>
      <c r="AG89" s="856"/>
    </row>
    <row r="90" spans="1:33" s="572" customFormat="1" ht="16.5">
      <c r="A90" s="569"/>
      <c r="B90" s="662" t="s">
        <v>655</v>
      </c>
      <c r="C90" s="1180" t="s">
        <v>656</v>
      </c>
      <c r="D90" s="1167">
        <v>266</v>
      </c>
      <c r="E90" s="1167">
        <f>'[5]BM8 c'!F48</f>
        <v>296</v>
      </c>
      <c r="F90" s="1167">
        <f>'[5]BM8 c'!G48</f>
        <v>230</v>
      </c>
      <c r="G90" s="1167">
        <f>'[5]BM8 c'!H48</f>
        <v>363</v>
      </c>
      <c r="H90" s="1168">
        <f>'[5]BM8 c'!I48</f>
        <v>404</v>
      </c>
      <c r="I90" s="1168">
        <v>445</v>
      </c>
      <c r="J90" s="1168"/>
      <c r="K90" s="1168">
        <v>445</v>
      </c>
      <c r="L90" s="1168">
        <f>K90+H90+G90+F90+E90</f>
        <v>1738</v>
      </c>
      <c r="M90" s="1171">
        <f t="shared" si="15"/>
        <v>2772</v>
      </c>
      <c r="N90" s="1171"/>
      <c r="O90" s="1171"/>
      <c r="P90" s="1289">
        <v>454</v>
      </c>
      <c r="Q90" s="1168">
        <f>P90</f>
        <v>454</v>
      </c>
      <c r="R90" s="1167">
        <f>'BM8r'!F51</f>
        <v>504</v>
      </c>
      <c r="S90" s="1167">
        <f>'BM8r'!G51</f>
        <v>554</v>
      </c>
      <c r="T90" s="1167">
        <f>'BM8r'!H51</f>
        <v>605</v>
      </c>
      <c r="U90" s="1167">
        <f>'BM8r'!I51</f>
        <v>655</v>
      </c>
      <c r="V90" s="1178">
        <f>Q90+R90+S90+T90+U90</f>
        <v>2772</v>
      </c>
      <c r="W90" s="571"/>
      <c r="X90" s="571"/>
      <c r="Y90" s="571"/>
      <c r="Z90" s="1195">
        <f t="shared" si="30"/>
        <v>110.14851485148516</v>
      </c>
      <c r="AA90" s="1195">
        <f t="shared" si="31"/>
        <v>100</v>
      </c>
      <c r="AB90" s="856">
        <f t="shared" si="32"/>
        <v>102.02247191011236</v>
      </c>
      <c r="AC90" s="1372">
        <v>504</v>
      </c>
      <c r="AD90" s="1171">
        <f t="shared" si="33"/>
        <v>100</v>
      </c>
      <c r="AE90" s="1171"/>
      <c r="AF90" s="1171">
        <f t="shared" si="34"/>
        <v>111.01321585903084</v>
      </c>
      <c r="AG90" s="856"/>
    </row>
    <row r="91" spans="1:33" s="572" customFormat="1" ht="32.25" customHeight="1" hidden="1">
      <c r="A91" s="569"/>
      <c r="B91" s="662" t="s">
        <v>657</v>
      </c>
      <c r="C91" s="1180" t="s">
        <v>656</v>
      </c>
      <c r="D91" s="1167">
        <f>'BM8r'!D52</f>
        <v>0</v>
      </c>
      <c r="E91" s="1167"/>
      <c r="F91" s="1167"/>
      <c r="G91" s="1167"/>
      <c r="H91" s="1167"/>
      <c r="I91" s="1167"/>
      <c r="J91" s="1167"/>
      <c r="K91" s="1167"/>
      <c r="L91" s="1167"/>
      <c r="M91" s="1171">
        <f t="shared" si="15"/>
        <v>0</v>
      </c>
      <c r="N91" s="1171"/>
      <c r="O91" s="1171"/>
      <c r="P91" s="1289"/>
      <c r="Q91" s="1161"/>
      <c r="R91" s="1161"/>
      <c r="S91" s="1161"/>
      <c r="T91" s="1161"/>
      <c r="U91" s="1161"/>
      <c r="V91" s="1163"/>
      <c r="W91" s="571"/>
      <c r="X91" s="571"/>
      <c r="Y91" s="571"/>
      <c r="Z91" s="1195" t="e">
        <f t="shared" si="30"/>
        <v>#DIV/0!</v>
      </c>
      <c r="AA91" s="1195" t="e">
        <f t="shared" si="31"/>
        <v>#DIV/0!</v>
      </c>
      <c r="AB91" s="856" t="e">
        <f t="shared" si="32"/>
        <v>#DIV/0!</v>
      </c>
      <c r="AC91" s="1372"/>
      <c r="AD91" s="1171" t="e">
        <f t="shared" si="33"/>
        <v>#DIV/0!</v>
      </c>
      <c r="AE91" s="1171"/>
      <c r="AF91" s="1171" t="e">
        <f t="shared" si="34"/>
        <v>#DIV/0!</v>
      </c>
      <c r="AG91" s="856"/>
    </row>
    <row r="92" spans="1:33" s="572" customFormat="1" ht="21" customHeight="1">
      <c r="A92" s="569"/>
      <c r="B92" s="662" t="s">
        <v>658</v>
      </c>
      <c r="C92" s="1180" t="s">
        <v>654</v>
      </c>
      <c r="D92" s="1167">
        <v>1478</v>
      </c>
      <c r="E92" s="1167">
        <f>'[5]BM8 c'!F51</f>
        <v>1569</v>
      </c>
      <c r="F92" s="1167">
        <f>'[5]BM8 c'!G51</f>
        <v>1739</v>
      </c>
      <c r="G92" s="1167">
        <f>'[5]BM8 c'!H51</f>
        <v>1835</v>
      </c>
      <c r="H92" s="1168">
        <f>'[5]BM8 c'!I51</f>
        <v>2127</v>
      </c>
      <c r="I92" s="1168">
        <v>2209</v>
      </c>
      <c r="J92" s="1168"/>
      <c r="K92" s="1168">
        <v>2209</v>
      </c>
      <c r="L92" s="1168">
        <f>K92+H92+G92+F92+E92</f>
        <v>9479</v>
      </c>
      <c r="M92" s="1171">
        <f t="shared" si="15"/>
        <v>12302</v>
      </c>
      <c r="N92" s="1171"/>
      <c r="O92" s="1171"/>
      <c r="P92" s="1289">
        <v>2065</v>
      </c>
      <c r="Q92" s="1168">
        <f>P92</f>
        <v>2065</v>
      </c>
      <c r="R92" s="1167">
        <f>'BM8r'!F54</f>
        <v>2251</v>
      </c>
      <c r="S92" s="1167">
        <f>'BM8r'!G54</f>
        <v>2448</v>
      </c>
      <c r="T92" s="1167">
        <f>'BM8r'!H54</f>
        <v>2650</v>
      </c>
      <c r="U92" s="1167">
        <f>'BM8r'!I54</f>
        <v>2888</v>
      </c>
      <c r="V92" s="1178">
        <f>Q92+R92+S92+T92+U92</f>
        <v>12302</v>
      </c>
      <c r="W92" s="571"/>
      <c r="X92" s="571"/>
      <c r="Y92" s="571"/>
      <c r="Z92" s="1195">
        <f t="shared" si="30"/>
        <v>103.85519511048425</v>
      </c>
      <c r="AA92" s="1195">
        <f t="shared" si="31"/>
        <v>100</v>
      </c>
      <c r="AB92" s="856">
        <f t="shared" si="32"/>
        <v>93.48121321865096</v>
      </c>
      <c r="AC92" s="1372">
        <v>2251</v>
      </c>
      <c r="AD92" s="1171">
        <f t="shared" si="33"/>
        <v>100</v>
      </c>
      <c r="AE92" s="1171"/>
      <c r="AF92" s="1171">
        <f t="shared" si="34"/>
        <v>109.00726392251816</v>
      </c>
      <c r="AG92" s="856"/>
    </row>
    <row r="93" spans="1:33" s="1413" customFormat="1" ht="21.75" customHeight="1">
      <c r="A93" s="966"/>
      <c r="B93" s="1242" t="s">
        <v>1026</v>
      </c>
      <c r="C93" s="1403" t="s">
        <v>654</v>
      </c>
      <c r="D93" s="1404"/>
      <c r="E93" s="1404"/>
      <c r="F93" s="1404"/>
      <c r="G93" s="1404"/>
      <c r="H93" s="1404">
        <v>360</v>
      </c>
      <c r="I93" s="1404">
        <v>300</v>
      </c>
      <c r="J93" s="1404"/>
      <c r="K93" s="1404">
        <v>443</v>
      </c>
      <c r="L93" s="1404"/>
      <c r="M93" s="1405">
        <f t="shared" si="15"/>
        <v>0</v>
      </c>
      <c r="N93" s="1405"/>
      <c r="O93" s="1405"/>
      <c r="P93" s="1406">
        <v>315</v>
      </c>
      <c r="Q93" s="1404">
        <v>260</v>
      </c>
      <c r="R93" s="1404"/>
      <c r="S93" s="1404"/>
      <c r="T93" s="1404"/>
      <c r="U93" s="1404"/>
      <c r="V93" s="1407"/>
      <c r="W93" s="1408"/>
      <c r="X93" s="1408"/>
      <c r="Y93" s="1408"/>
      <c r="Z93" s="1409">
        <f t="shared" si="30"/>
        <v>123.05555555555556</v>
      </c>
      <c r="AA93" s="1409">
        <f>(K93/I93)*100</f>
        <v>147.66666666666666</v>
      </c>
      <c r="AB93" s="1410">
        <f t="shared" si="32"/>
        <v>58.69074492099323</v>
      </c>
      <c r="AC93" s="1411">
        <v>340</v>
      </c>
      <c r="AD93" s="1412">
        <f t="shared" si="33"/>
        <v>82.53968253968254</v>
      </c>
      <c r="AE93" s="1412"/>
      <c r="AF93" s="1412">
        <f t="shared" si="34"/>
        <v>130.76923076923077</v>
      </c>
      <c r="AG93" s="1410"/>
    </row>
    <row r="94" spans="1:33" s="572" customFormat="1" ht="26.25" customHeight="1" hidden="1">
      <c r="A94" s="569"/>
      <c r="B94" s="393" t="s">
        <v>691</v>
      </c>
      <c r="C94" s="1373"/>
      <c r="D94" s="1161"/>
      <c r="E94" s="1161"/>
      <c r="F94" s="1161"/>
      <c r="G94" s="1161"/>
      <c r="H94" s="1161"/>
      <c r="I94" s="1161"/>
      <c r="J94" s="1161"/>
      <c r="K94" s="1161"/>
      <c r="L94" s="1161"/>
      <c r="M94" s="1200">
        <f t="shared" si="15"/>
        <v>0</v>
      </c>
      <c r="N94" s="1200"/>
      <c r="O94" s="1200"/>
      <c r="P94" s="1200"/>
      <c r="Q94" s="1161"/>
      <c r="R94" s="1161"/>
      <c r="S94" s="1161"/>
      <c r="T94" s="1161"/>
      <c r="U94" s="1161"/>
      <c r="V94" s="1163"/>
      <c r="W94" s="571"/>
      <c r="X94" s="571"/>
      <c r="Y94" s="571"/>
      <c r="Z94" s="1195" t="e">
        <f t="shared" si="30"/>
        <v>#DIV/0!</v>
      </c>
      <c r="AA94" s="1195" t="e">
        <f t="shared" si="31"/>
        <v>#DIV/0!</v>
      </c>
      <c r="AB94" s="856" t="e">
        <f t="shared" si="32"/>
        <v>#DIV/0!</v>
      </c>
      <c r="AC94" s="1369"/>
      <c r="AD94" s="1200"/>
      <c r="AE94" s="1200"/>
      <c r="AF94" s="1200"/>
      <c r="AG94" s="856"/>
    </row>
    <row r="95" spans="1:33" s="572" customFormat="1" ht="26.25" customHeight="1" hidden="1">
      <c r="A95" s="569"/>
      <c r="B95" s="393" t="s">
        <v>692</v>
      </c>
      <c r="C95" s="1373"/>
      <c r="D95" s="1161"/>
      <c r="E95" s="1161"/>
      <c r="F95" s="1161"/>
      <c r="G95" s="1161"/>
      <c r="H95" s="1161"/>
      <c r="I95" s="1161"/>
      <c r="J95" s="1161"/>
      <c r="K95" s="1161"/>
      <c r="L95" s="1161"/>
      <c r="M95" s="1200">
        <f t="shared" si="15"/>
        <v>0</v>
      </c>
      <c r="N95" s="1200"/>
      <c r="O95" s="1200"/>
      <c r="P95" s="1200"/>
      <c r="Q95" s="1161"/>
      <c r="R95" s="1161"/>
      <c r="S95" s="1161"/>
      <c r="T95" s="1161"/>
      <c r="U95" s="1161"/>
      <c r="V95" s="1163"/>
      <c r="W95" s="571"/>
      <c r="X95" s="571"/>
      <c r="Y95" s="571"/>
      <c r="Z95" s="1195" t="e">
        <f t="shared" si="30"/>
        <v>#DIV/0!</v>
      </c>
      <c r="AA95" s="1195" t="e">
        <f t="shared" si="31"/>
        <v>#DIV/0!</v>
      </c>
      <c r="AB95" s="856" t="e">
        <f t="shared" si="32"/>
        <v>#DIV/0!</v>
      </c>
      <c r="AC95" s="1369"/>
      <c r="AD95" s="1200"/>
      <c r="AE95" s="1200"/>
      <c r="AF95" s="1200"/>
      <c r="AG95" s="856"/>
    </row>
    <row r="96" spans="1:33" s="572" customFormat="1" ht="26.25" customHeight="1" hidden="1">
      <c r="A96" s="569"/>
      <c r="B96" s="393" t="s">
        <v>693</v>
      </c>
      <c r="C96" s="1373" t="s">
        <v>213</v>
      </c>
      <c r="D96" s="1161"/>
      <c r="E96" s="1161"/>
      <c r="F96" s="1161"/>
      <c r="G96" s="1161"/>
      <c r="H96" s="1161"/>
      <c r="I96" s="1161"/>
      <c r="J96" s="1161"/>
      <c r="K96" s="1161"/>
      <c r="L96" s="1161"/>
      <c r="M96" s="1200">
        <f t="shared" si="15"/>
        <v>0</v>
      </c>
      <c r="N96" s="1200"/>
      <c r="O96" s="1200"/>
      <c r="P96" s="1200"/>
      <c r="Q96" s="1161"/>
      <c r="R96" s="1161"/>
      <c r="S96" s="1161"/>
      <c r="T96" s="1161"/>
      <c r="U96" s="1161"/>
      <c r="V96" s="1163"/>
      <c r="W96" s="571"/>
      <c r="X96" s="571"/>
      <c r="Y96" s="571"/>
      <c r="Z96" s="1195" t="e">
        <f t="shared" si="30"/>
        <v>#DIV/0!</v>
      </c>
      <c r="AA96" s="1195" t="e">
        <f t="shared" si="31"/>
        <v>#DIV/0!</v>
      </c>
      <c r="AB96" s="856" t="e">
        <f t="shared" si="32"/>
        <v>#DIV/0!</v>
      </c>
      <c r="AC96" s="1369"/>
      <c r="AD96" s="1200"/>
      <c r="AE96" s="1200"/>
      <c r="AF96" s="1200"/>
      <c r="AG96" s="856"/>
    </row>
    <row r="97" spans="1:33" s="564" customFormat="1" ht="16.5">
      <c r="A97" s="562">
        <v>5</v>
      </c>
      <c r="B97" s="563" t="s">
        <v>436</v>
      </c>
      <c r="C97" s="1157"/>
      <c r="D97" s="1157"/>
      <c r="E97" s="1157"/>
      <c r="F97" s="1157"/>
      <c r="G97" s="1157"/>
      <c r="H97" s="1157"/>
      <c r="I97" s="1157"/>
      <c r="J97" s="1157"/>
      <c r="K97" s="1157"/>
      <c r="L97" s="1157"/>
      <c r="M97" s="1200"/>
      <c r="N97" s="1200"/>
      <c r="O97" s="1200"/>
      <c r="P97" s="1200"/>
      <c r="Q97" s="1157"/>
      <c r="R97" s="1157"/>
      <c r="S97" s="1157"/>
      <c r="T97" s="1157"/>
      <c r="U97" s="1157"/>
      <c r="V97" s="1173"/>
      <c r="W97" s="566"/>
      <c r="X97" s="566"/>
      <c r="Y97" s="566"/>
      <c r="Z97" s="1195"/>
      <c r="AA97" s="1195"/>
      <c r="AB97" s="856"/>
      <c r="AC97" s="1369"/>
      <c r="AD97" s="1200"/>
      <c r="AE97" s="1200"/>
      <c r="AF97" s="1200"/>
      <c r="AG97" s="856"/>
    </row>
    <row r="98" spans="1:33" ht="16.5">
      <c r="A98" s="561"/>
      <c r="B98" s="567" t="s">
        <v>437</v>
      </c>
      <c r="C98" s="1159" t="s">
        <v>6</v>
      </c>
      <c r="D98" s="1159">
        <f>'[5]BM1 (3)'!$F$91</f>
        <v>100</v>
      </c>
      <c r="E98" s="1159">
        <f>'[5]BM1 (3)'!$F$91</f>
        <v>100</v>
      </c>
      <c r="F98" s="1159">
        <f>'[5]BM1 (3)'!$F$91</f>
        <v>100</v>
      </c>
      <c r="G98" s="1159">
        <f>'[5]BM1 (3)'!$F$91</f>
        <v>100</v>
      </c>
      <c r="H98" s="1159">
        <f>'[5]BM1 (3)'!$F$91</f>
        <v>100</v>
      </c>
      <c r="I98" s="1159">
        <v>100</v>
      </c>
      <c r="J98" s="1159">
        <f>I98</f>
        <v>100</v>
      </c>
      <c r="K98" s="1159">
        <v>100</v>
      </c>
      <c r="L98" s="1159">
        <f>'[5]BM1 (3)'!$F$91</f>
        <v>100</v>
      </c>
      <c r="M98" s="1200">
        <f t="shared" si="15"/>
        <v>100</v>
      </c>
      <c r="N98" s="1200"/>
      <c r="O98" s="1200"/>
      <c r="P98" s="1251">
        <v>100</v>
      </c>
      <c r="Q98" s="1284">
        <v>100</v>
      </c>
      <c r="R98" s="1159">
        <v>100</v>
      </c>
      <c r="S98" s="1159">
        <v>100</v>
      </c>
      <c r="T98" s="1159">
        <v>100</v>
      </c>
      <c r="U98" s="1159">
        <v>100</v>
      </c>
      <c r="V98" s="1160">
        <v>100</v>
      </c>
      <c r="W98" s="568"/>
      <c r="X98" s="568"/>
      <c r="Y98" s="568"/>
      <c r="Z98" s="1195">
        <f t="shared" si="30"/>
        <v>100</v>
      </c>
      <c r="AA98" s="1195">
        <f t="shared" si="31"/>
        <v>100</v>
      </c>
      <c r="AB98" s="856">
        <f t="shared" si="32"/>
        <v>100</v>
      </c>
      <c r="AC98" s="1352">
        <v>100</v>
      </c>
      <c r="AD98" s="1171">
        <f>Q98/P98%</f>
        <v>100</v>
      </c>
      <c r="AE98" s="1171"/>
      <c r="AF98" s="1171">
        <f>AC98/Q98%</f>
        <v>100</v>
      </c>
      <c r="AG98" s="856"/>
    </row>
    <row r="99" spans="1:33" ht="16.5">
      <c r="A99" s="561"/>
      <c r="B99" s="567" t="s">
        <v>438</v>
      </c>
      <c r="C99" s="1159" t="s">
        <v>6</v>
      </c>
      <c r="D99" s="1162">
        <v>62.77</v>
      </c>
      <c r="E99" s="1162">
        <f>'[5]BM1 (3)'!F92</f>
        <v>63.4</v>
      </c>
      <c r="F99" s="1162">
        <f>'[5]BM1 (3)'!G92</f>
        <v>64.6</v>
      </c>
      <c r="G99" s="1162">
        <f>'[5]BM1 (3)'!H92</f>
        <v>72.3</v>
      </c>
      <c r="H99" s="1192">
        <v>79</v>
      </c>
      <c r="I99" s="1192">
        <v>82</v>
      </c>
      <c r="J99" s="1192"/>
      <c r="K99" s="1192">
        <f>12892/16125%</f>
        <v>79.95038759689922</v>
      </c>
      <c r="L99" s="1192">
        <f>K99</f>
        <v>79.95038759689922</v>
      </c>
      <c r="M99" s="1168">
        <f t="shared" si="15"/>
        <v>85</v>
      </c>
      <c r="N99" s="1168"/>
      <c r="O99" s="1168"/>
      <c r="P99" s="1285">
        <v>85</v>
      </c>
      <c r="Q99" s="1191">
        <v>83.4</v>
      </c>
      <c r="R99" s="1162">
        <f>'BM8r'!F63</f>
        <v>85</v>
      </c>
      <c r="S99" s="1162">
        <f>'BM8r'!G63</f>
        <v>85</v>
      </c>
      <c r="T99" s="1162">
        <f>'BM8r'!H63</f>
        <v>85</v>
      </c>
      <c r="U99" s="1162">
        <f>'BM8r'!I63</f>
        <v>85</v>
      </c>
      <c r="V99" s="1174">
        <f>'BM8r'!J63</f>
        <v>85</v>
      </c>
      <c r="W99" s="568"/>
      <c r="X99" s="568"/>
      <c r="Y99" s="568"/>
      <c r="Z99" s="1195">
        <f t="shared" si="30"/>
        <v>101.20302227455598</v>
      </c>
      <c r="AA99" s="1195">
        <f t="shared" si="31"/>
        <v>97.50047267914539</v>
      </c>
      <c r="AB99" s="856">
        <f t="shared" si="32"/>
        <v>104.31469128141484</v>
      </c>
      <c r="AC99" s="1374">
        <v>85</v>
      </c>
      <c r="AD99" s="1171">
        <f aca="true" t="shared" si="35" ref="AD99:AD104">Q99/P99%</f>
        <v>98.11764705882354</v>
      </c>
      <c r="AE99" s="1171"/>
      <c r="AF99" s="1171">
        <f aca="true" t="shared" si="36" ref="AF99:AF104">AC99/Q99%</f>
        <v>101.91846522781773</v>
      </c>
      <c r="AG99" s="856"/>
    </row>
    <row r="100" spans="1:33" ht="16.5">
      <c r="A100" s="561"/>
      <c r="B100" s="567" t="s">
        <v>439</v>
      </c>
      <c r="C100" s="1159" t="s">
        <v>6</v>
      </c>
      <c r="D100" s="1162">
        <v>65.35</v>
      </c>
      <c r="E100" s="1162">
        <f>'[5]BM8 c'!F61</f>
        <v>62.4</v>
      </c>
      <c r="F100" s="1162">
        <f>'[5]BM8 c'!G61</f>
        <v>59.8</v>
      </c>
      <c r="G100" s="1162">
        <f>'[5]BM8 c'!H61</f>
        <v>60</v>
      </c>
      <c r="H100" s="1192">
        <f>'[5]BM8 c'!I61</f>
        <v>82</v>
      </c>
      <c r="I100" s="1192">
        <v>82</v>
      </c>
      <c r="J100" s="1192"/>
      <c r="K100" s="1198">
        <f>83/102%</f>
        <v>81.37254901960785</v>
      </c>
      <c r="L100" s="1192">
        <f>K100</f>
        <v>81.37254901960785</v>
      </c>
      <c r="M100" s="1168">
        <f t="shared" si="15"/>
        <v>75</v>
      </c>
      <c r="N100" s="1168"/>
      <c r="O100" s="1168"/>
      <c r="P100" s="1285">
        <v>81</v>
      </c>
      <c r="Q100" s="1191">
        <v>82.4</v>
      </c>
      <c r="R100" s="1162">
        <f>'BM8r'!F64</f>
        <v>75</v>
      </c>
      <c r="S100" s="1162">
        <f>'BM8r'!G64</f>
        <v>75</v>
      </c>
      <c r="T100" s="1162">
        <f>'BM8r'!H64</f>
        <v>75</v>
      </c>
      <c r="U100" s="1162">
        <f>'BM8r'!I64</f>
        <v>75</v>
      </c>
      <c r="V100" s="1174">
        <f>'BM8r'!J64</f>
        <v>75</v>
      </c>
      <c r="W100" s="568"/>
      <c r="X100" s="568"/>
      <c r="Y100" s="568"/>
      <c r="Z100" s="1195">
        <f t="shared" si="30"/>
        <v>99.23481587757055</v>
      </c>
      <c r="AA100" s="1195">
        <f t="shared" si="31"/>
        <v>99.23481587757055</v>
      </c>
      <c r="AB100" s="856">
        <f t="shared" si="32"/>
        <v>101.26265060240965</v>
      </c>
      <c r="AC100" s="1374">
        <v>83</v>
      </c>
      <c r="AD100" s="1171">
        <f t="shared" si="35"/>
        <v>101.72839506172839</v>
      </c>
      <c r="AE100" s="1171"/>
      <c r="AF100" s="1171">
        <f t="shared" si="36"/>
        <v>100.72815533980582</v>
      </c>
      <c r="AG100" s="856"/>
    </row>
    <row r="101" spans="1:33" ht="16.5">
      <c r="A101" s="561"/>
      <c r="B101" s="567" t="s">
        <v>440</v>
      </c>
      <c r="C101" s="1159" t="s">
        <v>6</v>
      </c>
      <c r="D101" s="1162"/>
      <c r="E101" s="1162"/>
      <c r="F101" s="1162"/>
      <c r="G101" s="1162"/>
      <c r="H101" s="1162">
        <v>8.3</v>
      </c>
      <c r="I101" s="1162">
        <v>16.7</v>
      </c>
      <c r="J101" s="1162"/>
      <c r="K101" s="1162">
        <v>8.3</v>
      </c>
      <c r="L101" s="1162">
        <f>K101</f>
        <v>8.3</v>
      </c>
      <c r="M101" s="1181">
        <f t="shared" si="15"/>
        <v>33.33333333333333</v>
      </c>
      <c r="N101" s="1181"/>
      <c r="O101" s="1181"/>
      <c r="P101" s="1254">
        <v>33.333333333333336</v>
      </c>
      <c r="Q101" s="1192">
        <v>25</v>
      </c>
      <c r="R101" s="1162">
        <f>'BM8r'!F65</f>
        <v>25</v>
      </c>
      <c r="S101" s="1162">
        <f>'BM8r'!G65</f>
        <v>25</v>
      </c>
      <c r="T101" s="1162">
        <f>'BM8r'!H65</f>
        <v>33.33333333333333</v>
      </c>
      <c r="U101" s="1162">
        <f>'BM8r'!I65</f>
        <v>33.33333333333333</v>
      </c>
      <c r="V101" s="1174">
        <f>U101</f>
        <v>33.33333333333333</v>
      </c>
      <c r="W101" s="724">
        <f>'BM8r'!K65</f>
        <v>0</v>
      </c>
      <c r="X101" s="568"/>
      <c r="Y101" s="568"/>
      <c r="Z101" s="1195">
        <f t="shared" si="30"/>
        <v>100</v>
      </c>
      <c r="AA101" s="1195">
        <f t="shared" si="31"/>
        <v>49.70059880239522</v>
      </c>
      <c r="AB101" s="856">
        <f t="shared" si="32"/>
        <v>301.2048192771084</v>
      </c>
      <c r="AC101" s="1370">
        <v>33.33</v>
      </c>
      <c r="AD101" s="1171">
        <f t="shared" si="35"/>
        <v>74.99999999999999</v>
      </c>
      <c r="AE101" s="1171"/>
      <c r="AF101" s="1171">
        <f t="shared" si="36"/>
        <v>133.32</v>
      </c>
      <c r="AG101" s="856"/>
    </row>
    <row r="102" spans="1:33" ht="16.5">
      <c r="A102" s="561"/>
      <c r="B102" s="567" t="s">
        <v>441</v>
      </c>
      <c r="C102" s="1159" t="s">
        <v>6</v>
      </c>
      <c r="D102" s="1162">
        <v>96.19</v>
      </c>
      <c r="E102" s="1162">
        <f>'[5]BM8 c'!F63</f>
        <v>85.5</v>
      </c>
      <c r="F102" s="1162">
        <f>'[5]BM8 c'!G63</f>
        <v>77.6</v>
      </c>
      <c r="G102" s="1162">
        <f>'[5]BM8 c'!H63</f>
        <v>78.9</v>
      </c>
      <c r="H102" s="1192">
        <f>'[5]BM8 c'!I63</f>
        <v>79</v>
      </c>
      <c r="I102" s="1192">
        <v>95</v>
      </c>
      <c r="J102" s="1192"/>
      <c r="K102" s="1192">
        <f>94/118%</f>
        <v>79.66101694915254</v>
      </c>
      <c r="L102" s="1192">
        <f>K102</f>
        <v>79.66101694915254</v>
      </c>
      <c r="M102" s="1168">
        <f t="shared" si="15"/>
        <v>84.34</v>
      </c>
      <c r="N102" s="1168"/>
      <c r="O102" s="1168"/>
      <c r="P102" s="1285">
        <v>85</v>
      </c>
      <c r="Q102" s="1191">
        <v>81.7</v>
      </c>
      <c r="R102" s="1162">
        <f>'BM8r'!F66</f>
        <v>85</v>
      </c>
      <c r="S102" s="1162">
        <f>'BM8r'!G66</f>
        <v>85</v>
      </c>
      <c r="T102" s="1162">
        <f>'BM8r'!H66</f>
        <v>85</v>
      </c>
      <c r="U102" s="1162">
        <f>'BM8r'!I66</f>
        <v>85</v>
      </c>
      <c r="V102" s="1160">
        <f>SUM(Q102:U102)/5</f>
        <v>84.34</v>
      </c>
      <c r="W102" s="568"/>
      <c r="X102" s="568"/>
      <c r="Y102" s="568"/>
      <c r="Z102" s="1195">
        <f t="shared" si="30"/>
        <v>100.83673031538297</v>
      </c>
      <c r="AA102" s="1195">
        <f t="shared" si="31"/>
        <v>83.85370205173952</v>
      </c>
      <c r="AB102" s="856">
        <f t="shared" si="32"/>
        <v>102.55957446808512</v>
      </c>
      <c r="AC102" s="1374">
        <v>85</v>
      </c>
      <c r="AD102" s="1171">
        <f t="shared" si="35"/>
        <v>96.11764705882354</v>
      </c>
      <c r="AE102" s="1171"/>
      <c r="AF102" s="1171">
        <f t="shared" si="36"/>
        <v>104.0391676866585</v>
      </c>
      <c r="AG102" s="856"/>
    </row>
    <row r="103" spans="1:33" s="572" customFormat="1" ht="16.5">
      <c r="A103" s="569"/>
      <c r="B103" s="952" t="s">
        <v>442</v>
      </c>
      <c r="C103" s="1161" t="s">
        <v>6</v>
      </c>
      <c r="D103" s="1170">
        <f>E103</f>
        <v>90.9090909090909</v>
      </c>
      <c r="E103" s="1170">
        <f>'[5]BM8 c'!$F$64</f>
        <v>90.9090909090909</v>
      </c>
      <c r="F103" s="1170">
        <f>'[5]BM8 c'!$F$64</f>
        <v>90.9090909090909</v>
      </c>
      <c r="G103" s="1170">
        <f>'[5]BM8 c'!$F$64</f>
        <v>90.9090909090909</v>
      </c>
      <c r="H103" s="1170">
        <f>'[5]BM8 c'!$F$64</f>
        <v>90.9090909090909</v>
      </c>
      <c r="I103" s="1170">
        <v>90.91</v>
      </c>
      <c r="J103" s="1170">
        <f>I103</f>
        <v>90.91</v>
      </c>
      <c r="K103" s="1170">
        <v>90.9</v>
      </c>
      <c r="L103" s="1170">
        <f>K103</f>
        <v>90.9</v>
      </c>
      <c r="M103" s="1201">
        <f t="shared" si="15"/>
        <v>90.9090909090909</v>
      </c>
      <c r="N103" s="1201"/>
      <c r="O103" s="1201"/>
      <c r="P103" s="1254">
        <v>90.9090909090909</v>
      </c>
      <c r="Q103" s="1170">
        <f>P103</f>
        <v>90.9090909090909</v>
      </c>
      <c r="R103" s="1170">
        <f>20/22*100</f>
        <v>90.9090909090909</v>
      </c>
      <c r="S103" s="1170">
        <f>20/22*100</f>
        <v>90.9090909090909</v>
      </c>
      <c r="T103" s="1170">
        <f>20/22*100</f>
        <v>90.9090909090909</v>
      </c>
      <c r="U103" s="1170">
        <f>20/22*100</f>
        <v>90.9090909090909</v>
      </c>
      <c r="V103" s="1195">
        <f>U103</f>
        <v>90.9090909090909</v>
      </c>
      <c r="W103" s="571"/>
      <c r="X103" s="571"/>
      <c r="Y103" s="571"/>
      <c r="Z103" s="1195">
        <f t="shared" si="30"/>
        <v>99.99000000000001</v>
      </c>
      <c r="AA103" s="1195">
        <f t="shared" si="31"/>
        <v>99.9890001099989</v>
      </c>
      <c r="AB103" s="856">
        <f t="shared" si="32"/>
        <v>100.0100010001</v>
      </c>
      <c r="AC103" s="1370">
        <f>Q103</f>
        <v>90.9090909090909</v>
      </c>
      <c r="AD103" s="1171">
        <f t="shared" si="35"/>
        <v>100</v>
      </c>
      <c r="AE103" s="1171"/>
      <c r="AF103" s="1171">
        <f t="shared" si="36"/>
        <v>100</v>
      </c>
      <c r="AG103" s="856"/>
    </row>
    <row r="104" spans="1:33" ht="16.5">
      <c r="A104" s="561"/>
      <c r="B104" s="567" t="s">
        <v>443</v>
      </c>
      <c r="C104" s="1159" t="s">
        <v>6</v>
      </c>
      <c r="D104" s="1192">
        <v>90</v>
      </c>
      <c r="E104" s="1192">
        <f>'[5]BM1 (3)'!$F$98</f>
        <v>100</v>
      </c>
      <c r="F104" s="1192">
        <f>'[5]BM1 (3)'!$F$98</f>
        <v>100</v>
      </c>
      <c r="G104" s="1192">
        <f>'[5]BM1 (3)'!$F$98</f>
        <v>100</v>
      </c>
      <c r="H104" s="1192">
        <f>'[5]BM1 (3)'!$F$98</f>
        <v>100</v>
      </c>
      <c r="I104" s="1192">
        <v>100</v>
      </c>
      <c r="J104" s="1192">
        <f>I104</f>
        <v>100</v>
      </c>
      <c r="K104" s="1192">
        <v>100</v>
      </c>
      <c r="L104" s="1192">
        <f>'[5]BM1 (3)'!$F$98</f>
        <v>100</v>
      </c>
      <c r="M104" s="1200">
        <f aca="true" t="shared" si="37" ref="M104:M137">V104</f>
        <v>100</v>
      </c>
      <c r="N104" s="1200"/>
      <c r="O104" s="1200"/>
      <c r="P104" s="1251">
        <v>100</v>
      </c>
      <c r="Q104" s="1251">
        <f>P104</f>
        <v>100</v>
      </c>
      <c r="R104" s="1159">
        <v>100</v>
      </c>
      <c r="S104" s="1159">
        <v>100</v>
      </c>
      <c r="T104" s="1159">
        <v>100</v>
      </c>
      <c r="U104" s="1159">
        <v>100</v>
      </c>
      <c r="V104" s="1160">
        <f>SUM(Q104:U104)/5</f>
        <v>100</v>
      </c>
      <c r="W104" s="568"/>
      <c r="X104" s="568"/>
      <c r="Y104" s="568"/>
      <c r="Z104" s="1195">
        <f t="shared" si="30"/>
        <v>100</v>
      </c>
      <c r="AA104" s="1195">
        <f t="shared" si="31"/>
        <v>100</v>
      </c>
      <c r="AB104" s="856">
        <f t="shared" si="32"/>
        <v>100</v>
      </c>
      <c r="AC104" s="1352">
        <f>Q104</f>
        <v>100</v>
      </c>
      <c r="AD104" s="1171">
        <f t="shared" si="35"/>
        <v>100</v>
      </c>
      <c r="AE104" s="1171"/>
      <c r="AF104" s="1171">
        <f t="shared" si="36"/>
        <v>100</v>
      </c>
      <c r="AG104" s="856"/>
    </row>
    <row r="105" spans="1:33" ht="16.5" hidden="1">
      <c r="A105" s="561"/>
      <c r="B105" s="567" t="s">
        <v>462</v>
      </c>
      <c r="C105" s="1159" t="s">
        <v>463</v>
      </c>
      <c r="D105" s="1159">
        <v>12</v>
      </c>
      <c r="E105" s="1159">
        <f>'[5]BM1 (3)'!F99</f>
        <v>85</v>
      </c>
      <c r="F105" s="1159">
        <f>'[5]BM1 (3)'!G99</f>
        <v>87</v>
      </c>
      <c r="G105" s="1159">
        <f>'[5]BM1 (3)'!H99</f>
        <v>89</v>
      </c>
      <c r="H105" s="1159">
        <f>'[5]BM1 (3)'!I99</f>
        <v>91</v>
      </c>
      <c r="I105" s="1159"/>
      <c r="J105" s="1159"/>
      <c r="K105" s="1159">
        <f>'[5]BM1 (3)'!J99</f>
        <v>93</v>
      </c>
      <c r="L105" s="1159">
        <f>K105</f>
        <v>93</v>
      </c>
      <c r="M105" s="1200">
        <f t="shared" si="37"/>
        <v>98</v>
      </c>
      <c r="N105" s="1200"/>
      <c r="O105" s="1200"/>
      <c r="P105" s="1251">
        <v>94</v>
      </c>
      <c r="Q105" s="1159"/>
      <c r="R105" s="1159">
        <f>'BM5 '!F21</f>
        <v>95</v>
      </c>
      <c r="S105" s="1159">
        <f>'BM5 '!G21</f>
        <v>96</v>
      </c>
      <c r="T105" s="1159">
        <f>'BM5 '!H21</f>
        <v>97</v>
      </c>
      <c r="U105" s="1159">
        <f>'BM5 '!I21</f>
        <v>98</v>
      </c>
      <c r="V105" s="593">
        <f>U105</f>
        <v>98</v>
      </c>
      <c r="W105" s="568"/>
      <c r="X105" s="568"/>
      <c r="Y105" s="568"/>
      <c r="Z105" s="1195">
        <f t="shared" si="30"/>
        <v>102.19780219780219</v>
      </c>
      <c r="AA105" s="1195" t="e">
        <f t="shared" si="31"/>
        <v>#DIV/0!</v>
      </c>
      <c r="AB105" s="856">
        <f t="shared" si="32"/>
        <v>0</v>
      </c>
      <c r="AC105" s="1369"/>
      <c r="AD105" s="1200"/>
      <c r="AE105" s="1200"/>
      <c r="AF105" s="1200"/>
      <c r="AG105" s="856"/>
    </row>
    <row r="106" spans="1:33" ht="16.5" hidden="1">
      <c r="A106" s="561"/>
      <c r="B106" s="593" t="s">
        <v>464</v>
      </c>
      <c r="C106" s="1159" t="s">
        <v>463</v>
      </c>
      <c r="D106" s="1159">
        <f>'[5]BM1 (3)'!$D$100</f>
        <v>9.65</v>
      </c>
      <c r="E106" s="1159">
        <f>'[5]BM1 (3)'!F100</f>
        <v>9.89</v>
      </c>
      <c r="F106" s="1159">
        <f>'[5]BM1 (3)'!G100</f>
        <v>10.5</v>
      </c>
      <c r="G106" s="1159">
        <f>'[5]BM1 (3)'!H100</f>
        <v>14.1</v>
      </c>
      <c r="H106" s="1159">
        <f>'[5]BM1 (3)'!I100</f>
        <v>15.19</v>
      </c>
      <c r="I106" s="1159"/>
      <c r="J106" s="1159"/>
      <c r="K106" s="1159">
        <f>'[5]BM1 (3)'!J100</f>
        <v>18.25</v>
      </c>
      <c r="L106" s="1159">
        <f>K106</f>
        <v>18.25</v>
      </c>
      <c r="M106" s="1200">
        <f t="shared" si="37"/>
        <v>25.4</v>
      </c>
      <c r="N106" s="1200"/>
      <c r="O106" s="1200"/>
      <c r="P106" s="1251">
        <v>14.34</v>
      </c>
      <c r="Q106" s="1159"/>
      <c r="R106" s="1159">
        <f>'BM5 '!F22</f>
        <v>15.35</v>
      </c>
      <c r="S106" s="1159">
        <f>'BM5 '!G22</f>
        <v>15.35</v>
      </c>
      <c r="T106" s="1159">
        <f>'BM5 '!H22</f>
        <v>20.7</v>
      </c>
      <c r="U106" s="1159">
        <f>'BM5 '!I22</f>
        <v>25.4</v>
      </c>
      <c r="V106" s="593">
        <f>U106</f>
        <v>25.4</v>
      </c>
      <c r="W106" s="568"/>
      <c r="X106" s="568"/>
      <c r="Y106" s="568"/>
      <c r="Z106" s="1195">
        <f t="shared" si="30"/>
        <v>120.14483212639895</v>
      </c>
      <c r="AA106" s="1195" t="e">
        <f t="shared" si="31"/>
        <v>#DIV/0!</v>
      </c>
      <c r="AB106" s="856">
        <f t="shared" si="32"/>
        <v>0</v>
      </c>
      <c r="AC106" s="1369"/>
      <c r="AD106" s="1200"/>
      <c r="AE106" s="1200"/>
      <c r="AF106" s="1200"/>
      <c r="AG106" s="856"/>
    </row>
    <row r="107" spans="1:33" s="564" customFormat="1" ht="16.5">
      <c r="A107" s="562">
        <v>6</v>
      </c>
      <c r="B107" s="563" t="s">
        <v>444</v>
      </c>
      <c r="C107" s="1157"/>
      <c r="D107" s="1157"/>
      <c r="E107" s="1157"/>
      <c r="F107" s="1157"/>
      <c r="G107" s="1157"/>
      <c r="H107" s="1157"/>
      <c r="I107" s="1157"/>
      <c r="J107" s="1157"/>
      <c r="K107" s="1157"/>
      <c r="L107" s="1157"/>
      <c r="M107" s="1200"/>
      <c r="N107" s="1200"/>
      <c r="O107" s="1200"/>
      <c r="P107" s="1251"/>
      <c r="Q107" s="1157"/>
      <c r="R107" s="1157"/>
      <c r="S107" s="1157"/>
      <c r="T107" s="1157"/>
      <c r="U107" s="1157"/>
      <c r="V107" s="1173"/>
      <c r="W107" s="566"/>
      <c r="X107" s="566"/>
      <c r="Y107" s="566"/>
      <c r="Z107" s="1195"/>
      <c r="AA107" s="1195"/>
      <c r="AB107" s="856"/>
      <c r="AC107" s="1369"/>
      <c r="AD107" s="1200"/>
      <c r="AE107" s="1200"/>
      <c r="AF107" s="1200"/>
      <c r="AG107" s="856"/>
    </row>
    <row r="108" spans="1:33" s="572" customFormat="1" ht="16.5">
      <c r="A108" s="569"/>
      <c r="B108" s="1278" t="s">
        <v>1032</v>
      </c>
      <c r="C108" s="1161" t="s">
        <v>6</v>
      </c>
      <c r="D108" s="1181">
        <f>'[5]BM1 (3)'!D102</f>
        <v>24.7</v>
      </c>
      <c r="E108" s="1181">
        <f>'[5]BM1 (3)'!F102</f>
        <v>22.995079132863413</v>
      </c>
      <c r="F108" s="1181">
        <f>'[5]BM1 (3)'!G102</f>
        <v>18.463629303650013</v>
      </c>
      <c r="G108" s="1181">
        <f>'[5]BM1 (3)'!H102</f>
        <v>15.882941470735368</v>
      </c>
      <c r="H108" s="1181">
        <f>'[5]BM1 (3)'!I102</f>
        <v>12.566747572815535</v>
      </c>
      <c r="I108" s="1181">
        <v>10.52</v>
      </c>
      <c r="J108" s="1181">
        <v>11.07</v>
      </c>
      <c r="K108" s="1181">
        <v>10.31</v>
      </c>
      <c r="L108" s="1181">
        <f>K108</f>
        <v>10.31</v>
      </c>
      <c r="M108" s="1181">
        <f t="shared" si="37"/>
        <v>5.278950877972883</v>
      </c>
      <c r="N108" s="1181"/>
      <c r="O108" s="1181"/>
      <c r="P108" s="1288">
        <v>18.35</v>
      </c>
      <c r="Q108" s="1181">
        <v>16.01</v>
      </c>
      <c r="R108" s="1181">
        <f>'BM8r'!F10/'BM8r'!F8*100</f>
        <v>7.443032176800641</v>
      </c>
      <c r="S108" s="1181">
        <f>'BM8r'!G10/'BM8r'!G8*100</f>
        <v>6.51890482398957</v>
      </c>
      <c r="T108" s="1181">
        <f>'BM8r'!H10/'BM8r'!H8*100</f>
        <v>5.893248021552449</v>
      </c>
      <c r="U108" s="1181">
        <f>'BM8r'!I10/'BM8r'!I8*100</f>
        <v>5.278950877972883</v>
      </c>
      <c r="V108" s="1175">
        <f>U108</f>
        <v>5.278950877972883</v>
      </c>
      <c r="W108" s="570"/>
      <c r="X108" s="570"/>
      <c r="Y108" s="570"/>
      <c r="Z108" s="1195">
        <f t="shared" si="30"/>
        <v>82.04191211974891</v>
      </c>
      <c r="AA108" s="1195">
        <f t="shared" si="31"/>
        <v>98.00380228136883</v>
      </c>
      <c r="AB108" s="856">
        <f t="shared" si="32"/>
        <v>155.28612997090207</v>
      </c>
      <c r="AC108" s="1371">
        <v>13.91</v>
      </c>
      <c r="AD108" s="1171"/>
      <c r="AE108" s="1171"/>
      <c r="AF108" s="1171"/>
      <c r="AG108" s="856"/>
    </row>
    <row r="109" spans="1:33" s="1072" customFormat="1" ht="33">
      <c r="A109" s="1068"/>
      <c r="B109" s="1067" t="s">
        <v>955</v>
      </c>
      <c r="C109" s="1182" t="s">
        <v>6</v>
      </c>
      <c r="D109" s="1196">
        <f>'[5]BM1 (3)'!D103</f>
        <v>38.38</v>
      </c>
      <c r="E109" s="1196">
        <f>'[5]BM1 (3)'!F103</f>
        <v>36.900036088054854</v>
      </c>
      <c r="F109" s="1196">
        <f>'[5]BM1 (3)'!G103</f>
        <v>32.07481209578745</v>
      </c>
      <c r="G109" s="1196">
        <f>'[5]BM1 (3)'!H103</f>
        <v>28.058893213741747</v>
      </c>
      <c r="H109" s="1196">
        <f>'[5]BM1 (3)'!I103</f>
        <v>23.026638339597973</v>
      </c>
      <c r="I109" s="1196">
        <v>20.26</v>
      </c>
      <c r="J109" s="1196">
        <v>21.03</v>
      </c>
      <c r="K109" s="1196">
        <v>20.26</v>
      </c>
      <c r="L109" s="1183">
        <f>K109</f>
        <v>20.26</v>
      </c>
      <c r="M109" s="1181">
        <f t="shared" si="37"/>
        <v>10.774598743893929</v>
      </c>
      <c r="N109" s="1181"/>
      <c r="O109" s="1181"/>
      <c r="P109" s="1316">
        <v>50.71</v>
      </c>
      <c r="Q109" s="1183">
        <v>44.72</v>
      </c>
      <c r="R109" s="1183">
        <f>'BM8r'!F15</f>
        <v>15.738904987036756</v>
      </c>
      <c r="S109" s="1183">
        <f>'BM8r'!G15</f>
        <v>13.801273508070489</v>
      </c>
      <c r="T109" s="1183">
        <f>'BM8r'!H15</f>
        <v>12.248418631397355</v>
      </c>
      <c r="U109" s="1183">
        <f>'BM8r'!I15</f>
        <v>10.774598743893929</v>
      </c>
      <c r="V109" s="1184">
        <f>U109</f>
        <v>10.774598743893929</v>
      </c>
      <c r="W109" s="1071"/>
      <c r="X109" s="1071"/>
      <c r="Y109" s="1071"/>
      <c r="Z109" s="1240">
        <f t="shared" si="30"/>
        <v>87.9850532292406</v>
      </c>
      <c r="AA109" s="1240">
        <f t="shared" si="31"/>
        <v>100</v>
      </c>
      <c r="AB109" s="1241">
        <f t="shared" si="32"/>
        <v>220.7305034550839</v>
      </c>
      <c r="AC109" s="1375">
        <v>39.79</v>
      </c>
      <c r="AD109" s="1171"/>
      <c r="AE109" s="1171"/>
      <c r="AF109" s="1171"/>
      <c r="AG109" s="1241"/>
    </row>
    <row r="110" spans="1:33" s="564" customFormat="1" ht="17.25">
      <c r="A110" s="562">
        <v>7</v>
      </c>
      <c r="B110" s="563" t="s">
        <v>445</v>
      </c>
      <c r="C110" s="1157"/>
      <c r="D110" s="1157"/>
      <c r="E110" s="1197"/>
      <c r="F110" s="1197"/>
      <c r="G110" s="1197"/>
      <c r="H110" s="1197"/>
      <c r="I110" s="1197"/>
      <c r="J110" s="1197"/>
      <c r="K110" s="1197"/>
      <c r="L110" s="1157"/>
      <c r="M110" s="1200"/>
      <c r="N110" s="1200"/>
      <c r="O110" s="1200"/>
      <c r="P110" s="1251"/>
      <c r="Q110" s="1157"/>
      <c r="R110" s="1157"/>
      <c r="S110" s="1157"/>
      <c r="T110" s="1157"/>
      <c r="U110" s="1157"/>
      <c r="V110" s="575"/>
      <c r="W110" s="563"/>
      <c r="X110" s="563"/>
      <c r="Y110" s="563"/>
      <c r="Z110" s="1195"/>
      <c r="AA110" s="1195"/>
      <c r="AB110" s="856"/>
      <c r="AC110" s="1369"/>
      <c r="AD110" s="1200"/>
      <c r="AE110" s="1200"/>
      <c r="AF110" s="1200"/>
      <c r="AG110" s="856"/>
    </row>
    <row r="111" spans="1:33" ht="16.5">
      <c r="A111" s="561"/>
      <c r="B111" s="567" t="s">
        <v>446</v>
      </c>
      <c r="C111" s="1159" t="s">
        <v>6</v>
      </c>
      <c r="D111" s="1177">
        <v>95</v>
      </c>
      <c r="E111" s="1194">
        <f>'[5]BM1 (3)'!F105</f>
        <v>95</v>
      </c>
      <c r="F111" s="1194">
        <f>'[5]BM1 (3)'!G105</f>
        <v>96.1</v>
      </c>
      <c r="G111" s="1194">
        <f>'[5]BM1 (3)'!H105</f>
        <v>96.22</v>
      </c>
      <c r="H111" s="1194">
        <f>'[5]BM1 (3)'!I105</f>
        <v>98</v>
      </c>
      <c r="I111" s="1194">
        <v>98.49</v>
      </c>
      <c r="J111" s="1194">
        <v>98.8</v>
      </c>
      <c r="K111" s="1194">
        <v>98.5</v>
      </c>
      <c r="L111" s="1185">
        <f>K111</f>
        <v>98.5</v>
      </c>
      <c r="M111" s="1171">
        <f t="shared" si="37"/>
        <v>99</v>
      </c>
      <c r="N111" s="1171"/>
      <c r="O111" s="1171"/>
      <c r="P111" s="1254">
        <v>98.7</v>
      </c>
      <c r="Q111" s="1282">
        <v>98</v>
      </c>
      <c r="R111" s="1164">
        <f>'BM3r '!E34</f>
        <v>99</v>
      </c>
      <c r="S111" s="1164">
        <f>'BM3r '!F34</f>
        <v>99</v>
      </c>
      <c r="T111" s="1164">
        <f>'BM3r '!G34</f>
        <v>99</v>
      </c>
      <c r="U111" s="1164">
        <f>'BM3r '!H34</f>
        <v>99</v>
      </c>
      <c r="V111" s="1164">
        <f>'BM3r '!I34</f>
        <v>99</v>
      </c>
      <c r="W111" s="1317"/>
      <c r="X111" s="1317"/>
      <c r="Y111" s="1317"/>
      <c r="Z111" s="1286">
        <f t="shared" si="30"/>
        <v>100.51020408163265</v>
      </c>
      <c r="AA111" s="1286">
        <f t="shared" si="31"/>
        <v>100.01015331505738</v>
      </c>
      <c r="AB111" s="857">
        <f t="shared" si="32"/>
        <v>99.49238578680203</v>
      </c>
      <c r="AC111" s="1353">
        <v>99</v>
      </c>
      <c r="AD111" s="1171">
        <f>Q111/P111%</f>
        <v>99.29078014184397</v>
      </c>
      <c r="AE111" s="1171"/>
      <c r="AF111" s="1171">
        <f>AC111/Q111%</f>
        <v>101.0204081632653</v>
      </c>
      <c r="AG111" s="856"/>
    </row>
    <row r="112" spans="1:33" ht="16.5">
      <c r="A112" s="561"/>
      <c r="B112" s="593" t="s">
        <v>447</v>
      </c>
      <c r="C112" s="1159" t="s">
        <v>6</v>
      </c>
      <c r="D112" s="1159">
        <v>97</v>
      </c>
      <c r="E112" s="1194">
        <f>'[5]BM1 (3)'!F106</f>
        <v>97</v>
      </c>
      <c r="F112" s="1194">
        <f>'[5]BM1 (3)'!G106</f>
        <v>97</v>
      </c>
      <c r="G112" s="1194">
        <f>'[5]BM1 (3)'!H106</f>
        <v>98.04</v>
      </c>
      <c r="H112" s="1194">
        <f>'[5]BM1 (3)'!I106</f>
        <v>100</v>
      </c>
      <c r="I112" s="1194">
        <v>100</v>
      </c>
      <c r="J112" s="1194">
        <f>I112</f>
        <v>100</v>
      </c>
      <c r="K112" s="1194">
        <v>100</v>
      </c>
      <c r="L112" s="1191">
        <f>K112</f>
        <v>100</v>
      </c>
      <c r="M112" s="1200">
        <f t="shared" si="37"/>
        <v>100</v>
      </c>
      <c r="N112" s="1200"/>
      <c r="O112" s="1200"/>
      <c r="P112" s="1251">
        <v>100</v>
      </c>
      <c r="Q112" s="1284">
        <v>99</v>
      </c>
      <c r="R112" s="1284">
        <v>100</v>
      </c>
      <c r="S112" s="1284">
        <v>100</v>
      </c>
      <c r="T112" s="1284">
        <v>100</v>
      </c>
      <c r="U112" s="1284">
        <v>100</v>
      </c>
      <c r="V112" s="1284">
        <v>100</v>
      </c>
      <c r="W112" s="1317"/>
      <c r="X112" s="1317"/>
      <c r="Y112" s="1317"/>
      <c r="Z112" s="1286">
        <f t="shared" si="30"/>
        <v>100</v>
      </c>
      <c r="AA112" s="1286">
        <f t="shared" si="31"/>
        <v>100</v>
      </c>
      <c r="AB112" s="857">
        <f t="shared" si="32"/>
        <v>99</v>
      </c>
      <c r="AC112" s="1352">
        <v>100</v>
      </c>
      <c r="AD112" s="1171">
        <f>Q112/P112%</f>
        <v>99</v>
      </c>
      <c r="AE112" s="1171"/>
      <c r="AF112" s="1171">
        <f>AC112/Q112%</f>
        <v>101.01010101010101</v>
      </c>
      <c r="AG112" s="856"/>
    </row>
    <row r="113" spans="1:33" s="583" customFormat="1" ht="16.5">
      <c r="A113" s="580">
        <v>8</v>
      </c>
      <c r="B113" s="581" t="s">
        <v>448</v>
      </c>
      <c r="C113" s="1172"/>
      <c r="D113" s="1172"/>
      <c r="E113" s="1172"/>
      <c r="F113" s="1172"/>
      <c r="G113" s="1172"/>
      <c r="H113" s="1172"/>
      <c r="I113" s="1172"/>
      <c r="J113" s="1172"/>
      <c r="K113" s="1172"/>
      <c r="L113" s="1172"/>
      <c r="M113" s="1200"/>
      <c r="N113" s="1200"/>
      <c r="O113" s="1200"/>
      <c r="P113" s="1251"/>
      <c r="Q113" s="1172"/>
      <c r="R113" s="1172"/>
      <c r="S113" s="1172"/>
      <c r="T113" s="1172"/>
      <c r="U113" s="1172"/>
      <c r="V113" s="1376"/>
      <c r="W113" s="581"/>
      <c r="X113" s="581"/>
      <c r="Y113" s="581"/>
      <c r="Z113" s="1195"/>
      <c r="AA113" s="1195"/>
      <c r="AB113" s="856"/>
      <c r="AC113" s="1369"/>
      <c r="AD113" s="1200"/>
      <c r="AE113" s="1200"/>
      <c r="AF113" s="1200"/>
      <c r="AG113" s="856"/>
    </row>
    <row r="114" spans="1:33" s="572" customFormat="1" ht="16.5">
      <c r="A114" s="569"/>
      <c r="B114" s="570" t="s">
        <v>957</v>
      </c>
      <c r="C114" s="1161" t="s">
        <v>6</v>
      </c>
      <c r="D114" s="1259">
        <v>73</v>
      </c>
      <c r="E114" s="1259">
        <f>'[5]BM1 (3)'!F108</f>
        <v>74.40484106929112</v>
      </c>
      <c r="F114" s="1259">
        <f>'[5]BM1 (3)'!G108</f>
        <v>73.03908879109501</v>
      </c>
      <c r="G114" s="1259">
        <f>'[5]BM1 (3)'!H108</f>
        <v>73.38669334667334</v>
      </c>
      <c r="H114" s="1259">
        <f>'[5]BM1 (3)'!I108</f>
        <v>78.10072815533981</v>
      </c>
      <c r="I114" s="1259">
        <v>90</v>
      </c>
      <c r="J114" s="1259">
        <v>83</v>
      </c>
      <c r="K114" s="1259">
        <v>90</v>
      </c>
      <c r="L114" s="1259">
        <f>K114</f>
        <v>90</v>
      </c>
      <c r="M114" s="1171">
        <f t="shared" si="37"/>
        <v>94.02089353189598</v>
      </c>
      <c r="N114" s="1171"/>
      <c r="O114" s="1171"/>
      <c r="P114" s="1289">
        <v>91.03683571387266</v>
      </c>
      <c r="Q114" s="1251">
        <v>91</v>
      </c>
      <c r="R114" s="1170">
        <f>'BM8r'!F27</f>
        <v>92.17909080499255</v>
      </c>
      <c r="S114" s="1170">
        <f>'BM8r'!G27</f>
        <v>92.96525140298169</v>
      </c>
      <c r="T114" s="1170">
        <f>'BM8r'!H27</f>
        <v>93.73070662850087</v>
      </c>
      <c r="U114" s="1170">
        <f>'BM8r'!I27</f>
        <v>94.02089353189598</v>
      </c>
      <c r="V114" s="1170">
        <f>U114</f>
        <v>94.02089353189598</v>
      </c>
      <c r="W114" s="924"/>
      <c r="X114" s="924"/>
      <c r="Y114" s="924"/>
      <c r="Z114" s="1286">
        <f t="shared" si="30"/>
        <v>115.23580141403154</v>
      </c>
      <c r="AA114" s="1286">
        <f t="shared" si="31"/>
        <v>100</v>
      </c>
      <c r="AB114" s="857">
        <f t="shared" si="32"/>
        <v>101.11111111111111</v>
      </c>
      <c r="AC114" s="1354">
        <v>92.2</v>
      </c>
      <c r="AD114" s="1289">
        <f>Q114/P114%</f>
        <v>99.95953757225433</v>
      </c>
      <c r="AE114" s="1289"/>
      <c r="AF114" s="1289">
        <f>AC114/Q114%</f>
        <v>101.31868131868131</v>
      </c>
      <c r="AG114" s="856"/>
    </row>
    <row r="115" spans="1:33" s="587" customFormat="1" ht="16.5" hidden="1">
      <c r="A115" s="721"/>
      <c r="B115" s="722" t="s">
        <v>473</v>
      </c>
      <c r="C115" s="1186" t="s">
        <v>6</v>
      </c>
      <c r="D115" s="1186"/>
      <c r="E115" s="1186"/>
      <c r="F115" s="1186"/>
      <c r="G115" s="1186"/>
      <c r="H115" s="1186"/>
      <c r="I115" s="1186"/>
      <c r="J115" s="1186"/>
      <c r="K115" s="1186"/>
      <c r="L115" s="1186"/>
      <c r="M115" s="1200">
        <f t="shared" si="37"/>
        <v>0</v>
      </c>
      <c r="N115" s="1200"/>
      <c r="O115" s="1200"/>
      <c r="P115" s="1251"/>
      <c r="Q115" s="1377"/>
      <c r="R115" s="1377"/>
      <c r="S115" s="1377"/>
      <c r="T115" s="1377"/>
      <c r="U115" s="1377"/>
      <c r="V115" s="1377"/>
      <c r="W115" s="1378"/>
      <c r="X115" s="1378"/>
      <c r="Y115" s="1378"/>
      <c r="Z115" s="1286" t="e">
        <f t="shared" si="30"/>
        <v>#DIV/0!</v>
      </c>
      <c r="AA115" s="1286" t="e">
        <f t="shared" si="31"/>
        <v>#DIV/0!</v>
      </c>
      <c r="AB115" s="857" t="e">
        <f t="shared" si="32"/>
        <v>#DIV/0!</v>
      </c>
      <c r="AC115" s="1352"/>
      <c r="AD115" s="1251"/>
      <c r="AE115" s="1251"/>
      <c r="AF115" s="1251"/>
      <c r="AG115" s="856"/>
    </row>
    <row r="116" spans="1:33" s="564" customFormat="1" ht="16.5">
      <c r="A116" s="562">
        <v>9</v>
      </c>
      <c r="B116" s="563" t="s">
        <v>449</v>
      </c>
      <c r="C116" s="1157"/>
      <c r="D116" s="1157"/>
      <c r="E116" s="1157"/>
      <c r="F116" s="1157"/>
      <c r="G116" s="1157"/>
      <c r="H116" s="1157"/>
      <c r="I116" s="1157"/>
      <c r="J116" s="1157"/>
      <c r="K116" s="1157"/>
      <c r="L116" s="1157"/>
      <c r="M116" s="1200"/>
      <c r="N116" s="1200"/>
      <c r="O116" s="1200"/>
      <c r="P116" s="1251"/>
      <c r="Q116" s="1379"/>
      <c r="R116" s="1379"/>
      <c r="S116" s="1379"/>
      <c r="T116" s="1379"/>
      <c r="U116" s="1379"/>
      <c r="V116" s="1379"/>
      <c r="W116" s="1380"/>
      <c r="X116" s="1380"/>
      <c r="Y116" s="1380"/>
      <c r="Z116" s="1286"/>
      <c r="AA116" s="1286"/>
      <c r="AB116" s="857"/>
      <c r="AC116" s="1352"/>
      <c r="AD116" s="1251"/>
      <c r="AE116" s="1251"/>
      <c r="AF116" s="1251"/>
      <c r="AG116" s="856"/>
    </row>
    <row r="117" spans="1:33" ht="16.5">
      <c r="A117" s="561"/>
      <c r="B117" s="567" t="s">
        <v>450</v>
      </c>
      <c r="C117" s="1159" t="s">
        <v>6</v>
      </c>
      <c r="D117" s="1159"/>
      <c r="E117" s="1159">
        <v>90</v>
      </c>
      <c r="F117" s="1159">
        <v>90</v>
      </c>
      <c r="G117" s="1159">
        <v>90</v>
      </c>
      <c r="H117" s="1159">
        <v>90</v>
      </c>
      <c r="I117" s="1159">
        <v>95</v>
      </c>
      <c r="J117" s="1159">
        <v>95</v>
      </c>
      <c r="K117" s="1159">
        <v>95</v>
      </c>
      <c r="L117" s="1159">
        <f>K117</f>
        <v>95</v>
      </c>
      <c r="M117" s="1200">
        <f t="shared" si="37"/>
        <v>95</v>
      </c>
      <c r="N117" s="1200"/>
      <c r="O117" s="1200"/>
      <c r="P117" s="1251">
        <v>95</v>
      </c>
      <c r="Q117" s="1314">
        <f>P117</f>
        <v>95</v>
      </c>
      <c r="R117" s="1284">
        <v>95</v>
      </c>
      <c r="S117" s="1284">
        <v>95</v>
      </c>
      <c r="T117" s="1284">
        <v>95</v>
      </c>
      <c r="U117" s="1284">
        <v>95</v>
      </c>
      <c r="V117" s="1284">
        <v>95</v>
      </c>
      <c r="W117" s="1317"/>
      <c r="X117" s="1317"/>
      <c r="Y117" s="1317"/>
      <c r="Z117" s="1286">
        <f t="shared" si="30"/>
        <v>105.55555555555556</v>
      </c>
      <c r="AA117" s="1286">
        <f t="shared" si="31"/>
        <v>100</v>
      </c>
      <c r="AB117" s="857">
        <f t="shared" si="32"/>
        <v>100</v>
      </c>
      <c r="AC117" s="1352">
        <f>Q117</f>
        <v>95</v>
      </c>
      <c r="AD117" s="1289">
        <f>Q117/P117%</f>
        <v>100</v>
      </c>
      <c r="AE117" s="1289"/>
      <c r="AF117" s="1289">
        <f>AC117/Q117%</f>
        <v>100</v>
      </c>
      <c r="AG117" s="856"/>
    </row>
    <row r="118" spans="1:33" ht="16.5" hidden="1">
      <c r="A118" s="561"/>
      <c r="B118" s="567" t="s">
        <v>474</v>
      </c>
      <c r="C118" s="1159" t="s">
        <v>6</v>
      </c>
      <c r="D118" s="1159"/>
      <c r="E118" s="1159"/>
      <c r="F118" s="1159"/>
      <c r="G118" s="1159"/>
      <c r="H118" s="1159"/>
      <c r="I118" s="1159"/>
      <c r="J118" s="1159"/>
      <c r="K118" s="1159"/>
      <c r="L118" s="1159"/>
      <c r="M118" s="1200">
        <f t="shared" si="37"/>
        <v>0</v>
      </c>
      <c r="N118" s="1200"/>
      <c r="O118" s="1200"/>
      <c r="P118" s="1251"/>
      <c r="Q118" s="1159"/>
      <c r="R118" s="1159"/>
      <c r="S118" s="1159"/>
      <c r="T118" s="1159"/>
      <c r="U118" s="1159"/>
      <c r="V118" s="593"/>
      <c r="W118" s="567"/>
      <c r="X118" s="567"/>
      <c r="Y118" s="567"/>
      <c r="Z118" s="1195" t="e">
        <f t="shared" si="30"/>
        <v>#DIV/0!</v>
      </c>
      <c r="AA118" s="1195" t="e">
        <f t="shared" si="31"/>
        <v>#DIV/0!</v>
      </c>
      <c r="AB118" s="856" t="e">
        <f t="shared" si="32"/>
        <v>#DIV/0!</v>
      </c>
      <c r="AC118" s="1369"/>
      <c r="AD118" s="1200"/>
      <c r="AE118" s="1200"/>
      <c r="AF118" s="1200"/>
      <c r="AG118" s="856"/>
    </row>
    <row r="119" spans="1:33" ht="16.5" hidden="1">
      <c r="A119" s="561"/>
      <c r="B119" s="593" t="s">
        <v>475</v>
      </c>
      <c r="C119" s="1159" t="s">
        <v>6</v>
      </c>
      <c r="D119" s="1159"/>
      <c r="E119" s="1159"/>
      <c r="F119" s="1159"/>
      <c r="G119" s="1159"/>
      <c r="H119" s="1159"/>
      <c r="I119" s="1159"/>
      <c r="J119" s="1159"/>
      <c r="K119" s="1159"/>
      <c r="L119" s="1159"/>
      <c r="M119" s="1200">
        <f t="shared" si="37"/>
        <v>0</v>
      </c>
      <c r="N119" s="1200"/>
      <c r="O119" s="1200"/>
      <c r="P119" s="1251"/>
      <c r="Q119" s="1159"/>
      <c r="R119" s="1159"/>
      <c r="S119" s="1159"/>
      <c r="T119" s="1159"/>
      <c r="U119" s="1159"/>
      <c r="V119" s="593"/>
      <c r="W119" s="567"/>
      <c r="X119" s="567"/>
      <c r="Y119" s="567"/>
      <c r="Z119" s="1195" t="e">
        <f t="shared" si="30"/>
        <v>#DIV/0!</v>
      </c>
      <c r="AA119" s="1195" t="e">
        <f t="shared" si="31"/>
        <v>#DIV/0!</v>
      </c>
      <c r="AB119" s="856" t="e">
        <f t="shared" si="32"/>
        <v>#DIV/0!</v>
      </c>
      <c r="AC119" s="1369"/>
      <c r="AD119" s="1200"/>
      <c r="AE119" s="1200"/>
      <c r="AF119" s="1200"/>
      <c r="AG119" s="856"/>
    </row>
    <row r="120" spans="1:33" s="583" customFormat="1" ht="16.5">
      <c r="A120" s="580">
        <v>10</v>
      </c>
      <c r="B120" s="581" t="s">
        <v>470</v>
      </c>
      <c r="C120" s="1172"/>
      <c r="D120" s="1172"/>
      <c r="E120" s="1172"/>
      <c r="F120" s="1172"/>
      <c r="G120" s="1172"/>
      <c r="H120" s="1172"/>
      <c r="I120" s="1172"/>
      <c r="J120" s="1172"/>
      <c r="K120" s="1172"/>
      <c r="L120" s="1172"/>
      <c r="M120" s="1200"/>
      <c r="N120" s="1200"/>
      <c r="O120" s="1200"/>
      <c r="P120" s="1251"/>
      <c r="Q120" s="1172"/>
      <c r="R120" s="1172"/>
      <c r="S120" s="1172"/>
      <c r="T120" s="1172"/>
      <c r="U120" s="1172"/>
      <c r="V120" s="1376"/>
      <c r="W120" s="581"/>
      <c r="X120" s="581"/>
      <c r="Y120" s="581"/>
      <c r="Z120" s="1195"/>
      <c r="AA120" s="1195"/>
      <c r="AB120" s="856"/>
      <c r="AC120" s="1369"/>
      <c r="AD120" s="1200"/>
      <c r="AE120" s="1200"/>
      <c r="AF120" s="1200"/>
      <c r="AG120" s="856"/>
    </row>
    <row r="121" spans="1:33" s="572" customFormat="1" ht="16.5">
      <c r="A121" s="569"/>
      <c r="B121" s="570" t="s">
        <v>451</v>
      </c>
      <c r="C121" s="1161" t="s">
        <v>452</v>
      </c>
      <c r="D121" s="1260">
        <f>'[5]BM1 (3)'!D115</f>
        <v>46.783</v>
      </c>
      <c r="E121" s="1260">
        <f>'[5]BM1 (3)'!F115</f>
        <v>56.147</v>
      </c>
      <c r="F121" s="1260">
        <f>'[5]BM1 (3)'!G115</f>
        <v>58.093</v>
      </c>
      <c r="G121" s="1260">
        <f>'[5]BM1 (3)'!H115</f>
        <v>61.204</v>
      </c>
      <c r="H121" s="1260">
        <f>'[5]BM1 (3)'!I115</f>
        <v>65.635</v>
      </c>
      <c r="I121" s="1260">
        <v>66.64</v>
      </c>
      <c r="J121" s="1260">
        <v>43.728</v>
      </c>
      <c r="K121" s="1260">
        <v>66.879</v>
      </c>
      <c r="L121" s="1260">
        <f>K121</f>
        <v>66.879</v>
      </c>
      <c r="M121" s="1171">
        <f t="shared" si="37"/>
        <v>88</v>
      </c>
      <c r="N121" s="1171"/>
      <c r="O121" s="1171"/>
      <c r="P121" s="1324">
        <v>70.15</v>
      </c>
      <c r="Q121" s="1253">
        <v>72.884</v>
      </c>
      <c r="R121" s="1253">
        <v>78.28</v>
      </c>
      <c r="S121" s="1253">
        <v>83.5</v>
      </c>
      <c r="T121" s="1253">
        <v>86.55</v>
      </c>
      <c r="U121" s="1253">
        <v>88</v>
      </c>
      <c r="V121" s="1251">
        <v>88</v>
      </c>
      <c r="W121" s="924"/>
      <c r="X121" s="924"/>
      <c r="Y121" s="924"/>
      <c r="Z121" s="1286">
        <v>101.8953302353927</v>
      </c>
      <c r="AA121" s="1286">
        <v>100.35864345738297</v>
      </c>
      <c r="AB121" s="857">
        <v>108.97890219650412</v>
      </c>
      <c r="AC121" s="1381">
        <v>78.28</v>
      </c>
      <c r="AD121" s="1289">
        <f>Q121/P121%</f>
        <v>103.89736279401284</v>
      </c>
      <c r="AE121" s="1289"/>
      <c r="AF121" s="1289">
        <f>AC121/Q121%</f>
        <v>107.40354535974973</v>
      </c>
      <c r="AG121" s="856"/>
    </row>
    <row r="122" spans="1:33" s="572" customFormat="1" ht="16.5">
      <c r="A122" s="569"/>
      <c r="B122" s="570" t="s">
        <v>453</v>
      </c>
      <c r="C122" s="1161" t="s">
        <v>452</v>
      </c>
      <c r="D122" s="1260">
        <f>'[5]BM1 (3)'!D116</f>
        <v>305</v>
      </c>
      <c r="E122" s="1260">
        <f>'[5]BM1 (3)'!F116</f>
        <v>326.04</v>
      </c>
      <c r="F122" s="1260">
        <f>'[5]BM1 (3)'!G116</f>
        <v>323.56</v>
      </c>
      <c r="G122" s="1260">
        <f>'[5]BM1 (3)'!H116</f>
        <v>365</v>
      </c>
      <c r="H122" s="1260">
        <f>'[5]BM1 (3)'!I116</f>
        <v>420</v>
      </c>
      <c r="I122" s="1260">
        <v>420</v>
      </c>
      <c r="J122" s="1260">
        <v>200</v>
      </c>
      <c r="K122" s="1260">
        <v>421.967</v>
      </c>
      <c r="L122" s="1260">
        <f>K122</f>
        <v>421.967</v>
      </c>
      <c r="M122" s="1200">
        <f t="shared" si="37"/>
        <v>460</v>
      </c>
      <c r="N122" s="1200"/>
      <c r="O122" s="1200"/>
      <c r="P122" s="1251">
        <v>441</v>
      </c>
      <c r="Q122" s="1253">
        <v>441</v>
      </c>
      <c r="R122" s="1253">
        <v>450</v>
      </c>
      <c r="S122" s="1253">
        <v>454</v>
      </c>
      <c r="T122" s="1253">
        <v>458</v>
      </c>
      <c r="U122" s="1253">
        <v>460</v>
      </c>
      <c r="V122" s="1251">
        <v>460</v>
      </c>
      <c r="W122" s="924"/>
      <c r="X122" s="924"/>
      <c r="Y122" s="924"/>
      <c r="Z122" s="1286">
        <v>100.46833333333333</v>
      </c>
      <c r="AA122" s="1286">
        <v>100.46833333333333</v>
      </c>
      <c r="AB122" s="857">
        <v>104.5105422935917</v>
      </c>
      <c r="AC122" s="1352">
        <v>450</v>
      </c>
      <c r="AD122" s="1289">
        <f>Q122/P122%</f>
        <v>100</v>
      </c>
      <c r="AE122" s="1289"/>
      <c r="AF122" s="1289">
        <f>AC122/Q122%</f>
        <v>102.0408163265306</v>
      </c>
      <c r="AG122" s="856"/>
    </row>
    <row r="123" spans="1:33" s="572" customFormat="1" ht="16.5" hidden="1">
      <c r="A123" s="569"/>
      <c r="B123" s="570" t="s">
        <v>454</v>
      </c>
      <c r="C123" s="1161" t="s">
        <v>455</v>
      </c>
      <c r="D123" s="1161"/>
      <c r="E123" s="1161"/>
      <c r="F123" s="1161"/>
      <c r="G123" s="1161"/>
      <c r="H123" s="1161"/>
      <c r="I123" s="1161"/>
      <c r="J123" s="1161"/>
      <c r="K123" s="1161"/>
      <c r="L123" s="1161"/>
      <c r="M123" s="1200">
        <f t="shared" si="37"/>
        <v>0</v>
      </c>
      <c r="N123" s="1200"/>
      <c r="O123" s="1200"/>
      <c r="P123" s="1251"/>
      <c r="Q123" s="1161"/>
      <c r="R123" s="1161"/>
      <c r="S123" s="1161"/>
      <c r="T123" s="1161"/>
      <c r="U123" s="1161"/>
      <c r="V123" s="952"/>
      <c r="W123" s="570"/>
      <c r="X123" s="570"/>
      <c r="Y123" s="570"/>
      <c r="Z123" s="1195" t="e">
        <f t="shared" si="30"/>
        <v>#DIV/0!</v>
      </c>
      <c r="AA123" s="1195" t="e">
        <f t="shared" si="31"/>
        <v>#DIV/0!</v>
      </c>
      <c r="AB123" s="856" t="e">
        <f t="shared" si="32"/>
        <v>#DIV/0!</v>
      </c>
      <c r="AC123" s="1369"/>
      <c r="AD123" s="1200"/>
      <c r="AE123" s="1200"/>
      <c r="AF123" s="1200"/>
      <c r="AG123" s="856"/>
    </row>
    <row r="124" spans="1:33" s="583" customFormat="1" ht="16.5">
      <c r="A124" s="580">
        <v>11</v>
      </c>
      <c r="B124" s="581" t="s">
        <v>456</v>
      </c>
      <c r="C124" s="1172"/>
      <c r="D124" s="1172"/>
      <c r="E124" s="1172"/>
      <c r="F124" s="1172"/>
      <c r="G124" s="1172"/>
      <c r="H124" s="1172"/>
      <c r="I124" s="1172"/>
      <c r="J124" s="1172"/>
      <c r="K124" s="1172"/>
      <c r="L124" s="1172"/>
      <c r="M124" s="1200"/>
      <c r="N124" s="1200"/>
      <c r="O124" s="1200"/>
      <c r="P124" s="1251"/>
      <c r="Q124" s="1172"/>
      <c r="R124" s="1172"/>
      <c r="S124" s="1172"/>
      <c r="T124" s="1172"/>
      <c r="U124" s="1172"/>
      <c r="V124" s="1376"/>
      <c r="W124" s="581"/>
      <c r="X124" s="581"/>
      <c r="Y124" s="581"/>
      <c r="Z124" s="1195"/>
      <c r="AA124" s="1195"/>
      <c r="AB124" s="856"/>
      <c r="AC124" s="1369"/>
      <c r="AD124" s="1200"/>
      <c r="AE124" s="1200"/>
      <c r="AF124" s="1200"/>
      <c r="AG124" s="856"/>
    </row>
    <row r="125" spans="1:33" s="572" customFormat="1" ht="21.75" customHeight="1">
      <c r="A125" s="569"/>
      <c r="B125" s="570" t="s">
        <v>457</v>
      </c>
      <c r="C125" s="1161" t="s">
        <v>6</v>
      </c>
      <c r="D125" s="1161">
        <v>38.41</v>
      </c>
      <c r="E125" s="1161">
        <f>'[5]BM1 (3)'!F119</f>
        <v>39.7</v>
      </c>
      <c r="F125" s="1161">
        <f>'[5]BM1 (3)'!G119</f>
        <v>40</v>
      </c>
      <c r="G125" s="1161">
        <f>'[5]BM1 (3)'!H119</f>
        <v>42.6</v>
      </c>
      <c r="H125" s="1161">
        <f>'[5]BM1 (3)'!I119</f>
        <v>32.4</v>
      </c>
      <c r="I125" s="1161">
        <v>32.5</v>
      </c>
      <c r="J125" s="1161"/>
      <c r="K125" s="1161">
        <v>32.5</v>
      </c>
      <c r="L125" s="1161">
        <f>K125</f>
        <v>32.5</v>
      </c>
      <c r="M125" s="1181">
        <f t="shared" si="37"/>
        <v>36.6</v>
      </c>
      <c r="N125" s="1181"/>
      <c r="O125" s="1181"/>
      <c r="P125" s="1254">
        <v>32.7</v>
      </c>
      <c r="Q125" s="1283">
        <f>P125</f>
        <v>32.7</v>
      </c>
      <c r="R125" s="1283">
        <f>'BM2 a'!E95</f>
        <v>34</v>
      </c>
      <c r="S125" s="1283">
        <f>'BM2 a'!F95</f>
        <v>34.9</v>
      </c>
      <c r="T125" s="1283">
        <f>'BM2 a'!G95</f>
        <v>35.7</v>
      </c>
      <c r="U125" s="1283">
        <f>'BM2 a'!H95</f>
        <v>36.6</v>
      </c>
      <c r="V125" s="1283">
        <f>'BM2 a'!I95</f>
        <v>36.6</v>
      </c>
      <c r="W125" s="1319"/>
      <c r="X125" s="1319"/>
      <c r="Y125" s="1319"/>
      <c r="Z125" s="1286">
        <f t="shared" si="30"/>
        <v>100.30864197530865</v>
      </c>
      <c r="AA125" s="1286">
        <f t="shared" si="31"/>
        <v>100</v>
      </c>
      <c r="AB125" s="1320">
        <f t="shared" si="32"/>
        <v>100.61538461538461</v>
      </c>
      <c r="AC125" s="1353">
        <v>34</v>
      </c>
      <c r="AD125" s="1289">
        <f>Q125/P125%</f>
        <v>100</v>
      </c>
      <c r="AE125" s="1289"/>
      <c r="AF125" s="1289">
        <f>AC125/Q125%</f>
        <v>103.97553516819572</v>
      </c>
      <c r="AG125" s="856"/>
    </row>
    <row r="126" spans="1:33" s="572" customFormat="1" ht="21.75" customHeight="1">
      <c r="A126" s="569"/>
      <c r="B126" s="570" t="s">
        <v>458</v>
      </c>
      <c r="C126" s="605" t="s">
        <v>493</v>
      </c>
      <c r="D126" s="1245"/>
      <c r="E126" s="1245">
        <f>'[5]BM1 (3)'!F120</f>
        <v>0.11090000000000001</v>
      </c>
      <c r="F126" s="1245">
        <f>'[5]BM1 (3)'!G120</f>
        <v>0.2068</v>
      </c>
      <c r="G126" s="1245">
        <f>'[5]BM1 (3)'!H120</f>
        <v>0.172</v>
      </c>
      <c r="H126" s="1245">
        <f>'[5]BM1 (3)'!I120</f>
        <v>1.51</v>
      </c>
      <c r="I126" s="1245">
        <v>1.04</v>
      </c>
      <c r="J126" s="1245"/>
      <c r="K126" s="1245">
        <f>(26.7+54.2)/1000</f>
        <v>0.0809</v>
      </c>
      <c r="L126" s="1245">
        <f>K126+H126+G126+F126+E126</f>
        <v>2.0806</v>
      </c>
      <c r="M126" s="1181">
        <f t="shared" si="37"/>
        <v>2.5</v>
      </c>
      <c r="N126" s="1181"/>
      <c r="O126" s="1181"/>
      <c r="P126" s="1291">
        <v>0.57</v>
      </c>
      <c r="Q126" s="1291">
        <v>0.575</v>
      </c>
      <c r="R126" s="1291">
        <f>'BM2 a'!E88</f>
        <v>0.43000000000000005</v>
      </c>
      <c r="S126" s="1291">
        <f>'BM2 a'!F88</f>
        <v>0.51</v>
      </c>
      <c r="T126" s="1291">
        <f>'BM2 a'!G88</f>
        <v>0.5529999999999999</v>
      </c>
      <c r="U126" s="1291">
        <f>'BM2 a'!H88</f>
        <v>0.583</v>
      </c>
      <c r="V126" s="1254">
        <f>'BM2 a'!I88</f>
        <v>2.5</v>
      </c>
      <c r="W126" s="1318"/>
      <c r="X126" s="1318"/>
      <c r="Y126" s="1318"/>
      <c r="Z126" s="1286">
        <f t="shared" si="30"/>
        <v>5.357615894039735</v>
      </c>
      <c r="AA126" s="1286">
        <f t="shared" si="31"/>
        <v>7.778846153846154</v>
      </c>
      <c r="AB126" s="857">
        <f t="shared" si="32"/>
        <v>710.7540173053152</v>
      </c>
      <c r="AC126" s="1355">
        <v>0.47</v>
      </c>
      <c r="AD126" s="1289">
        <f>Q126/P126%</f>
        <v>100.87719298245615</v>
      </c>
      <c r="AE126" s="1289"/>
      <c r="AF126" s="1289">
        <f>AC126/Q126%</f>
        <v>81.73913043478261</v>
      </c>
      <c r="AG126" s="856"/>
    </row>
    <row r="127" spans="1:33" s="587" customFormat="1" ht="16.5" hidden="1">
      <c r="A127" s="721"/>
      <c r="B127" s="722" t="s">
        <v>459</v>
      </c>
      <c r="C127" s="1186" t="s">
        <v>413</v>
      </c>
      <c r="D127" s="1186"/>
      <c r="E127" s="1186"/>
      <c r="F127" s="1186"/>
      <c r="G127" s="1186"/>
      <c r="H127" s="1186"/>
      <c r="I127" s="1186"/>
      <c r="J127" s="1186"/>
      <c r="K127" s="1186"/>
      <c r="L127" s="1186"/>
      <c r="M127" s="1200">
        <f t="shared" si="37"/>
        <v>0</v>
      </c>
      <c r="N127" s="1200"/>
      <c r="O127" s="1200"/>
      <c r="P127" s="1200"/>
      <c r="Q127" s="1186"/>
      <c r="R127" s="1186"/>
      <c r="S127" s="1186"/>
      <c r="T127" s="1186"/>
      <c r="U127" s="1186"/>
      <c r="V127" s="1187"/>
      <c r="W127" s="723"/>
      <c r="X127" s="723"/>
      <c r="Y127" s="723"/>
      <c r="Z127" s="723"/>
      <c r="AA127" s="723"/>
      <c r="AB127" s="723"/>
      <c r="AC127" s="1369"/>
      <c r="AD127" s="1200"/>
      <c r="AE127" s="1200"/>
      <c r="AF127" s="1200"/>
      <c r="AG127" s="723"/>
    </row>
    <row r="128" spans="1:33" s="587" customFormat="1" ht="16.5" hidden="1">
      <c r="A128" s="721"/>
      <c r="B128" s="722" t="s">
        <v>460</v>
      </c>
      <c r="C128" s="1186" t="s">
        <v>413</v>
      </c>
      <c r="D128" s="1186"/>
      <c r="E128" s="1186"/>
      <c r="F128" s="1186"/>
      <c r="G128" s="1186"/>
      <c r="H128" s="1186"/>
      <c r="I128" s="1186"/>
      <c r="J128" s="1186"/>
      <c r="K128" s="1186"/>
      <c r="L128" s="1186"/>
      <c r="M128" s="1200">
        <f t="shared" si="37"/>
        <v>0</v>
      </c>
      <c r="N128" s="1200"/>
      <c r="O128" s="1200"/>
      <c r="P128" s="1200"/>
      <c r="Q128" s="1186"/>
      <c r="R128" s="1186"/>
      <c r="S128" s="1186"/>
      <c r="T128" s="1186"/>
      <c r="U128" s="1186"/>
      <c r="V128" s="1187"/>
      <c r="W128" s="723"/>
      <c r="X128" s="723"/>
      <c r="Y128" s="723"/>
      <c r="Z128" s="723"/>
      <c r="AA128" s="723"/>
      <c r="AB128" s="723"/>
      <c r="AC128" s="1369"/>
      <c r="AD128" s="1200"/>
      <c r="AE128" s="1200"/>
      <c r="AF128" s="1200"/>
      <c r="AG128" s="723"/>
    </row>
    <row r="129" spans="1:33" s="583" customFormat="1" ht="16.5" hidden="1">
      <c r="A129" s="580">
        <v>12</v>
      </c>
      <c r="B129" s="581" t="s">
        <v>465</v>
      </c>
      <c r="C129" s="1172"/>
      <c r="D129" s="1172"/>
      <c r="E129" s="1172"/>
      <c r="F129" s="1172"/>
      <c r="G129" s="1172"/>
      <c r="H129" s="1172"/>
      <c r="I129" s="1172"/>
      <c r="J129" s="1172"/>
      <c r="K129" s="1172"/>
      <c r="L129" s="1172"/>
      <c r="M129" s="1200">
        <f t="shared" si="37"/>
        <v>0</v>
      </c>
      <c r="N129" s="1200"/>
      <c r="O129" s="1200"/>
      <c r="P129" s="1200"/>
      <c r="Q129" s="1172"/>
      <c r="R129" s="1172"/>
      <c r="S129" s="1172"/>
      <c r="T129" s="1172"/>
      <c r="U129" s="1172"/>
      <c r="V129" s="1176"/>
      <c r="W129" s="592"/>
      <c r="X129" s="592"/>
      <c r="Y129" s="592"/>
      <c r="Z129" s="592"/>
      <c r="AA129" s="592"/>
      <c r="AB129" s="592"/>
      <c r="AC129" s="1369"/>
      <c r="AD129" s="1200"/>
      <c r="AE129" s="1200"/>
      <c r="AF129" s="1200"/>
      <c r="AG129" s="592"/>
    </row>
    <row r="130" spans="1:33" s="572" customFormat="1" ht="16.5" hidden="1">
      <c r="A130" s="569"/>
      <c r="B130" s="570" t="s">
        <v>466</v>
      </c>
      <c r="C130" s="1161" t="s">
        <v>469</v>
      </c>
      <c r="D130" s="1161"/>
      <c r="E130" s="1161"/>
      <c r="F130" s="1161"/>
      <c r="G130" s="1161"/>
      <c r="H130" s="1161"/>
      <c r="I130" s="1161"/>
      <c r="J130" s="1161"/>
      <c r="K130" s="1161"/>
      <c r="L130" s="1161"/>
      <c r="M130" s="1200">
        <f t="shared" si="37"/>
        <v>0</v>
      </c>
      <c r="N130" s="1200"/>
      <c r="O130" s="1200"/>
      <c r="P130" s="1200"/>
      <c r="Q130" s="1161"/>
      <c r="R130" s="1161"/>
      <c r="S130" s="1161"/>
      <c r="T130" s="1161"/>
      <c r="U130" s="1161"/>
      <c r="V130" s="1169"/>
      <c r="W130" s="589"/>
      <c r="X130" s="589"/>
      <c r="Y130" s="589"/>
      <c r="Z130" s="589"/>
      <c r="AA130" s="589"/>
      <c r="AB130" s="589"/>
      <c r="AC130" s="1369"/>
      <c r="AD130" s="1200"/>
      <c r="AE130" s="1200"/>
      <c r="AF130" s="1200"/>
      <c r="AG130" s="589"/>
    </row>
    <row r="131" spans="1:33" s="572" customFormat="1" ht="16.5" hidden="1">
      <c r="A131" s="569"/>
      <c r="B131" s="570" t="s">
        <v>467</v>
      </c>
      <c r="C131" s="1161" t="s">
        <v>469</v>
      </c>
      <c r="D131" s="1161"/>
      <c r="E131" s="1161"/>
      <c r="F131" s="1161"/>
      <c r="G131" s="1161"/>
      <c r="H131" s="1161"/>
      <c r="I131" s="1161"/>
      <c r="J131" s="1161"/>
      <c r="K131" s="1161"/>
      <c r="L131" s="1161"/>
      <c r="M131" s="1200">
        <f t="shared" si="37"/>
        <v>0</v>
      </c>
      <c r="N131" s="1200"/>
      <c r="O131" s="1200"/>
      <c r="P131" s="1200"/>
      <c r="Q131" s="1161"/>
      <c r="R131" s="1161"/>
      <c r="S131" s="1161"/>
      <c r="T131" s="1161"/>
      <c r="U131" s="1161"/>
      <c r="V131" s="1169"/>
      <c r="W131" s="589"/>
      <c r="X131" s="589"/>
      <c r="Y131" s="589"/>
      <c r="Z131" s="589"/>
      <c r="AA131" s="589"/>
      <c r="AB131" s="589"/>
      <c r="AC131" s="1369"/>
      <c r="AD131" s="1200"/>
      <c r="AE131" s="1200"/>
      <c r="AF131" s="1200"/>
      <c r="AG131" s="589"/>
    </row>
    <row r="132" spans="1:33" s="572" customFormat="1" ht="16.5" hidden="1">
      <c r="A132" s="569"/>
      <c r="B132" s="570" t="s">
        <v>468</v>
      </c>
      <c r="C132" s="1161" t="s">
        <v>469</v>
      </c>
      <c r="D132" s="1161"/>
      <c r="E132" s="1161"/>
      <c r="F132" s="1161"/>
      <c r="G132" s="1161"/>
      <c r="H132" s="1161"/>
      <c r="I132" s="1161"/>
      <c r="J132" s="1161"/>
      <c r="K132" s="1161"/>
      <c r="L132" s="1161"/>
      <c r="M132" s="1200">
        <f t="shared" si="37"/>
        <v>0</v>
      </c>
      <c r="N132" s="1200"/>
      <c r="O132" s="1200"/>
      <c r="P132" s="1200"/>
      <c r="Q132" s="1161"/>
      <c r="R132" s="1161"/>
      <c r="S132" s="1161"/>
      <c r="T132" s="1161"/>
      <c r="U132" s="1161"/>
      <c r="V132" s="1169"/>
      <c r="W132" s="589"/>
      <c r="X132" s="589"/>
      <c r="Y132" s="589"/>
      <c r="Z132" s="589"/>
      <c r="AA132" s="589"/>
      <c r="AB132" s="589"/>
      <c r="AC132" s="1369"/>
      <c r="AD132" s="1200"/>
      <c r="AE132" s="1200"/>
      <c r="AF132" s="1200"/>
      <c r="AG132" s="589"/>
    </row>
    <row r="133" spans="1:33" s="1266" customFormat="1" ht="135" customHeight="1">
      <c r="A133" s="926">
        <v>12</v>
      </c>
      <c r="B133" s="1262" t="s">
        <v>471</v>
      </c>
      <c r="C133" s="1179" t="s">
        <v>1008</v>
      </c>
      <c r="D133" s="1263"/>
      <c r="E133" s="1263"/>
      <c r="F133" s="1263"/>
      <c r="G133" s="1263"/>
      <c r="H133" s="1267" t="s">
        <v>1029</v>
      </c>
      <c r="I133" s="1267" t="s">
        <v>1028</v>
      </c>
      <c r="J133" s="1268"/>
      <c r="K133" s="1267" t="s">
        <v>1028</v>
      </c>
      <c r="L133" s="1268"/>
      <c r="M133" s="1269"/>
      <c r="N133" s="1269"/>
      <c r="O133" s="1269"/>
      <c r="P133" s="1267" t="s">
        <v>1030</v>
      </c>
      <c r="Q133" s="1267" t="s">
        <v>1042</v>
      </c>
      <c r="R133" s="1263"/>
      <c r="S133" s="1263"/>
      <c r="T133" s="1263"/>
      <c r="U133" s="1263"/>
      <c r="V133" s="1264"/>
      <c r="W133" s="1265"/>
      <c r="X133" s="1265"/>
      <c r="Y133" s="1265"/>
      <c r="Z133" s="1270">
        <v>100</v>
      </c>
      <c r="AA133" s="1270">
        <v>100</v>
      </c>
      <c r="AB133" s="1270">
        <v>100</v>
      </c>
      <c r="AC133" s="1382" t="s">
        <v>1043</v>
      </c>
      <c r="AD133" s="1269"/>
      <c r="AE133" s="1269"/>
      <c r="AF133" s="1269"/>
      <c r="AG133" s="1270"/>
    </row>
    <row r="134" spans="1:33" s="572" customFormat="1" ht="16.5" hidden="1">
      <c r="A134" s="594"/>
      <c r="B134" s="1156" t="s">
        <v>1009</v>
      </c>
      <c r="C134" s="1189" t="s">
        <v>1008</v>
      </c>
      <c r="D134" s="1189"/>
      <c r="E134" s="1189"/>
      <c r="F134" s="1189"/>
      <c r="G134" s="1189"/>
      <c r="H134" s="1280">
        <v>3</v>
      </c>
      <c r="I134" s="1280">
        <v>4</v>
      </c>
      <c r="J134" s="1189"/>
      <c r="K134" s="1280">
        <v>4</v>
      </c>
      <c r="L134" s="1189">
        <v>15</v>
      </c>
      <c r="M134" s="1205">
        <v>19</v>
      </c>
      <c r="N134" s="1205"/>
      <c r="O134" s="1205"/>
      <c r="P134" s="1205"/>
      <c r="Q134" s="1383"/>
      <c r="R134" s="1189"/>
      <c r="S134" s="1189"/>
      <c r="T134" s="1189"/>
      <c r="U134" s="1189">
        <v>1</v>
      </c>
      <c r="V134" s="1190">
        <v>19</v>
      </c>
      <c r="W134" s="596"/>
      <c r="X134" s="596"/>
      <c r="Y134" s="590"/>
      <c r="Z134" s="590"/>
      <c r="AA134" s="590"/>
      <c r="AB134" s="590"/>
      <c r="AC134" s="1384"/>
      <c r="AD134" s="1205"/>
      <c r="AE134" s="1205"/>
      <c r="AF134" s="1205"/>
      <c r="AG134" s="590"/>
    </row>
    <row r="135" spans="1:33" s="572" customFormat="1" ht="16.5" hidden="1">
      <c r="A135" s="569"/>
      <c r="B135" s="952" t="s">
        <v>1010</v>
      </c>
      <c r="C135" s="1161" t="s">
        <v>1008</v>
      </c>
      <c r="D135" s="1161"/>
      <c r="E135" s="1161"/>
      <c r="F135" s="1161"/>
      <c r="G135" s="1161"/>
      <c r="H135" s="1202">
        <v>2</v>
      </c>
      <c r="I135" s="1202">
        <v>3</v>
      </c>
      <c r="J135" s="1161"/>
      <c r="K135" s="1202">
        <v>3</v>
      </c>
      <c r="L135" s="1161">
        <v>8</v>
      </c>
      <c r="M135" s="1385">
        <f t="shared" si="37"/>
        <v>1</v>
      </c>
      <c r="N135" s="1385"/>
      <c r="O135" s="1385"/>
      <c r="P135" s="1385"/>
      <c r="Q135" s="1186"/>
      <c r="R135" s="1186"/>
      <c r="S135" s="1186"/>
      <c r="T135" s="1186"/>
      <c r="U135" s="1186">
        <v>1</v>
      </c>
      <c r="V135" s="1386">
        <v>1</v>
      </c>
      <c r="W135" s="869"/>
      <c r="X135" s="869"/>
      <c r="Y135" s="590"/>
      <c r="Z135" s="590"/>
      <c r="AA135" s="590"/>
      <c r="AB135" s="590"/>
      <c r="AC135" s="1369"/>
      <c r="AD135" s="1385"/>
      <c r="AE135" s="1385"/>
      <c r="AF135" s="1385"/>
      <c r="AG135" s="590"/>
    </row>
    <row r="136" spans="1:33" s="572" customFormat="1" ht="16.5" hidden="1">
      <c r="A136" s="594"/>
      <c r="B136" s="1156" t="s">
        <v>945</v>
      </c>
      <c r="C136" s="1189" t="s">
        <v>946</v>
      </c>
      <c r="D136" s="1189"/>
      <c r="E136" s="1189"/>
      <c r="F136" s="1189"/>
      <c r="G136" s="1189"/>
      <c r="H136" s="1189"/>
      <c r="I136" s="1189"/>
      <c r="J136" s="1189"/>
      <c r="K136" s="1189"/>
      <c r="L136" s="1189"/>
      <c r="M136" s="1200">
        <f t="shared" si="37"/>
        <v>5</v>
      </c>
      <c r="N136" s="1205"/>
      <c r="O136" s="1205"/>
      <c r="P136" s="1205"/>
      <c r="Q136" s="1189"/>
      <c r="R136" s="1189"/>
      <c r="S136" s="1189"/>
      <c r="T136" s="1189"/>
      <c r="U136" s="1189">
        <v>5</v>
      </c>
      <c r="V136" s="1190">
        <v>5</v>
      </c>
      <c r="W136" s="596"/>
      <c r="X136" s="590"/>
      <c r="Y136" s="590"/>
      <c r="Z136" s="590"/>
      <c r="AA136" s="590"/>
      <c r="AB136" s="590"/>
      <c r="AC136" s="1384"/>
      <c r="AD136" s="1205"/>
      <c r="AE136" s="1205"/>
      <c r="AF136" s="1205"/>
      <c r="AG136" s="590"/>
    </row>
    <row r="137" spans="1:32" ht="20.25" customHeight="1" hidden="1">
      <c r="A137" s="570"/>
      <c r="B137" s="952" t="s">
        <v>947</v>
      </c>
      <c r="C137" s="1161" t="s">
        <v>946</v>
      </c>
      <c r="D137" s="952"/>
      <c r="E137" s="952"/>
      <c r="F137" s="952"/>
      <c r="G137" s="952"/>
      <c r="H137" s="952"/>
      <c r="I137" s="952"/>
      <c r="J137" s="952"/>
      <c r="K137" s="952"/>
      <c r="L137" s="952"/>
      <c r="M137" s="1200">
        <f t="shared" si="37"/>
        <v>5</v>
      </c>
      <c r="N137" s="1200"/>
      <c r="O137" s="1200"/>
      <c r="P137" s="1200"/>
      <c r="Q137" s="952"/>
      <c r="R137" s="952"/>
      <c r="S137" s="952"/>
      <c r="T137" s="952"/>
      <c r="U137" s="1161">
        <v>5</v>
      </c>
      <c r="V137" s="952">
        <v>5</v>
      </c>
      <c r="AC137" s="1369"/>
      <c r="AD137" s="1200"/>
      <c r="AE137" s="1200"/>
      <c r="AF137" s="1200"/>
    </row>
  </sheetData>
  <sheetProtection/>
  <mergeCells count="28">
    <mergeCell ref="A4:AG4"/>
    <mergeCell ref="B2:V2"/>
    <mergeCell ref="A3:AB3"/>
    <mergeCell ref="A5:AG5"/>
    <mergeCell ref="A6:AG6"/>
    <mergeCell ref="A7:AB7"/>
    <mergeCell ref="A9:A10"/>
    <mergeCell ref="B9:B10"/>
    <mergeCell ref="C9:C10"/>
    <mergeCell ref="D9:D10"/>
    <mergeCell ref="H9:H10"/>
    <mergeCell ref="Z9:AB9"/>
    <mergeCell ref="I9:K9"/>
    <mergeCell ref="L9:L10"/>
    <mergeCell ref="M9:M10"/>
    <mergeCell ref="O9:O10"/>
    <mergeCell ref="P9:Q9"/>
    <mergeCell ref="R9:R10"/>
    <mergeCell ref="AC9:AC10"/>
    <mergeCell ref="AD9:AD10"/>
    <mergeCell ref="AE9:AE10"/>
    <mergeCell ref="AF9:AF10"/>
    <mergeCell ref="AG9:AG10"/>
    <mergeCell ref="S9:S10"/>
    <mergeCell ref="T9:T10"/>
    <mergeCell ref="U9:U10"/>
    <mergeCell ref="V9:V10"/>
    <mergeCell ref="Y9:Y10"/>
  </mergeCells>
  <printOptions horizontalCentered="1"/>
  <pageMargins left="0.25" right="0.2" top="0.840551181" bottom="0.590551181" header="0" footer="0"/>
  <pageSetup fitToHeight="0" horizontalDpi="600" verticalDpi="600" orientation="portrait" paperSize="9" scale="95" r:id="rId3"/>
  <headerFooter alignWithMargins="0">
    <oddFooter>&amp;CPage &amp;P</oddFooter>
  </headerFooter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M96"/>
  <sheetViews>
    <sheetView zoomScale="88" zoomScaleNormal="88" zoomScalePageLayoutView="0" workbookViewId="0" topLeftCell="A78">
      <selection activeCell="A4" sqref="A4:P4"/>
    </sheetView>
  </sheetViews>
  <sheetFormatPr defaultColWidth="9.140625" defaultRowHeight="12.75"/>
  <cols>
    <col min="1" max="1" width="47.57421875" style="599" customWidth="1"/>
    <col min="2" max="2" width="8.8515625" style="598" customWidth="1"/>
    <col min="3" max="3" width="12.00390625" style="598" customWidth="1"/>
    <col min="4" max="8" width="14.7109375" style="599" customWidth="1"/>
    <col min="9" max="9" width="13.140625" style="599" customWidth="1"/>
    <col min="10" max="10" width="12.7109375" style="599" customWidth="1"/>
    <col min="11" max="11" width="12.00390625" style="599" customWidth="1"/>
    <col min="12" max="12" width="9.140625" style="599" customWidth="1"/>
    <col min="13" max="13" width="10.00390625" style="599" bestFit="1" customWidth="1"/>
    <col min="14" max="16384" width="9.140625" style="599" customWidth="1"/>
  </cols>
  <sheetData>
    <row r="1" spans="1:9" ht="18.75">
      <c r="A1" s="597"/>
      <c r="F1" s="597" t="s">
        <v>703</v>
      </c>
      <c r="G1" s="1771" t="s">
        <v>479</v>
      </c>
      <c r="H1" s="1771"/>
      <c r="I1" s="1771"/>
    </row>
    <row r="2" spans="1:9" s="600" customFormat="1" ht="21">
      <c r="A2" s="1772" t="s">
        <v>480</v>
      </c>
      <c r="B2" s="1772"/>
      <c r="C2" s="1772"/>
      <c r="D2" s="1772"/>
      <c r="E2" s="1772"/>
      <c r="F2" s="1772"/>
      <c r="G2" s="1772"/>
      <c r="H2" s="1772"/>
      <c r="I2" s="1772"/>
    </row>
    <row r="3" ht="15.75" customHeight="1"/>
    <row r="4" spans="1:9" s="349" customFormat="1" ht="81" customHeight="1">
      <c r="A4" s="406" t="s">
        <v>211</v>
      </c>
      <c r="B4" s="406" t="s">
        <v>104</v>
      </c>
      <c r="C4" s="383" t="s">
        <v>958</v>
      </c>
      <c r="D4" s="383" t="s">
        <v>695</v>
      </c>
      <c r="E4" s="383" t="s">
        <v>696</v>
      </c>
      <c r="F4" s="383" t="s">
        <v>697</v>
      </c>
      <c r="G4" s="383" t="s">
        <v>698</v>
      </c>
      <c r="H4" s="383" t="s">
        <v>699</v>
      </c>
      <c r="I4" s="383" t="s">
        <v>700</v>
      </c>
    </row>
    <row r="5" spans="1:9" s="604" customFormat="1" ht="18.75">
      <c r="A5" s="601" t="s">
        <v>531</v>
      </c>
      <c r="B5" s="611" t="s">
        <v>6</v>
      </c>
      <c r="C5" s="615">
        <f>'[5]BM2 aR'!I6</f>
        <v>99.99999999999999</v>
      </c>
      <c r="D5" s="615">
        <f aca="true" t="shared" si="0" ref="D5:I5">D6+D9+D10</f>
        <v>100.00000000000001</v>
      </c>
      <c r="E5" s="615">
        <f t="shared" si="0"/>
        <v>100</v>
      </c>
      <c r="F5" s="615">
        <f t="shared" si="0"/>
        <v>100</v>
      </c>
      <c r="G5" s="615">
        <f t="shared" si="0"/>
        <v>100.00000000000003</v>
      </c>
      <c r="H5" s="615">
        <f t="shared" si="0"/>
        <v>100.00000000000001</v>
      </c>
      <c r="I5" s="615">
        <f t="shared" si="0"/>
        <v>100</v>
      </c>
    </row>
    <row r="6" spans="1:9" s="613" customFormat="1" ht="18.75">
      <c r="A6" s="608" t="s">
        <v>482</v>
      </c>
      <c r="B6" s="612" t="s">
        <v>6</v>
      </c>
      <c r="C6" s="603">
        <f>'[5]BM2 aR'!I7</f>
        <v>99.0195919557925</v>
      </c>
      <c r="D6" s="603">
        <f aca="true" t="shared" si="1" ref="D6:I6">SUM(D7:D8)</f>
        <v>98.59704028255913</v>
      </c>
      <c r="E6" s="603">
        <f t="shared" si="1"/>
        <v>98.57426223312247</v>
      </c>
      <c r="F6" s="603">
        <f t="shared" si="1"/>
        <v>98.74343462821949</v>
      </c>
      <c r="G6" s="603">
        <f t="shared" si="1"/>
        <v>98.66455584234141</v>
      </c>
      <c r="H6" s="603">
        <f t="shared" si="1"/>
        <v>98.3786580685441</v>
      </c>
      <c r="I6" s="603">
        <f t="shared" si="1"/>
        <v>98.59159021095732</v>
      </c>
    </row>
    <row r="7" spans="1:9" s="610" customFormat="1" ht="18.75">
      <c r="A7" s="608" t="s">
        <v>483</v>
      </c>
      <c r="B7" s="612" t="s">
        <v>6</v>
      </c>
      <c r="C7" s="603">
        <f>'[5]BM2 aR'!I8</f>
        <v>89.73407444619099</v>
      </c>
      <c r="D7" s="614">
        <f>D13/D11*100</f>
        <v>89.14889494940464</v>
      </c>
      <c r="E7" s="614">
        <f>E13/E11*100</f>
        <v>88.65975684108597</v>
      </c>
      <c r="F7" s="614">
        <f>F13/F11*100</f>
        <v>88.28744965839407</v>
      </c>
      <c r="G7" s="614">
        <f>G13/G11*100</f>
        <v>88.0386117549932</v>
      </c>
      <c r="H7" s="614">
        <f>H13/H11*100</f>
        <v>87.32432611572828</v>
      </c>
      <c r="I7" s="606">
        <f aca="true" t="shared" si="2" ref="I7:I16">SUM(D7:H7)/5</f>
        <v>88.29180786392124</v>
      </c>
    </row>
    <row r="8" spans="1:9" s="607" customFormat="1" ht="18.75">
      <c r="A8" s="1027" t="s">
        <v>484</v>
      </c>
      <c r="B8" s="1038" t="s">
        <v>6</v>
      </c>
      <c r="C8" s="606">
        <f>'[5]BM2 aR'!I9</f>
        <v>9.285517509601519</v>
      </c>
      <c r="D8" s="1029">
        <f>D14/D11*100</f>
        <v>9.4481453331545</v>
      </c>
      <c r="E8" s="1029">
        <f>E14/E11*100</f>
        <v>9.914505392036505</v>
      </c>
      <c r="F8" s="1029">
        <f>F14/F11*100</f>
        <v>10.455984969825415</v>
      </c>
      <c r="G8" s="1029">
        <f>G14/G11*100</f>
        <v>10.625944087348211</v>
      </c>
      <c r="H8" s="1029">
        <f>H14/H11*100</f>
        <v>11.054331952815808</v>
      </c>
      <c r="I8" s="606">
        <f t="shared" si="2"/>
        <v>10.299782347036087</v>
      </c>
    </row>
    <row r="9" spans="1:9" s="744" customFormat="1" ht="18.75">
      <c r="A9" s="741" t="s">
        <v>485</v>
      </c>
      <c r="B9" s="742" t="s">
        <v>6</v>
      </c>
      <c r="C9" s="603">
        <f>'[5]BM2 aR'!I10</f>
        <v>0.6128765658169798</v>
      </c>
      <c r="D9" s="743">
        <f>D15/D11*100</f>
        <v>0.9242783267015395</v>
      </c>
      <c r="E9" s="743">
        <f>E15/E11*100</f>
        <v>0.9360542265896783</v>
      </c>
      <c r="F9" s="743">
        <f>F15/F11*100</f>
        <v>0.8611240062317863</v>
      </c>
      <c r="G9" s="743">
        <f>G15/G11*100</f>
        <v>0.8992928133689576</v>
      </c>
      <c r="H9" s="743">
        <f>H15/H11*100</f>
        <v>1.146891483625152</v>
      </c>
      <c r="I9" s="606">
        <f t="shared" si="2"/>
        <v>0.9535281713034227</v>
      </c>
    </row>
    <row r="10" spans="1:9" s="613" customFormat="1" ht="18.75">
      <c r="A10" s="608" t="s">
        <v>486</v>
      </c>
      <c r="B10" s="612" t="s">
        <v>6</v>
      </c>
      <c r="C10" s="603">
        <f>'[5]BM2 aR'!I11</f>
        <v>0.3675314783905103</v>
      </c>
      <c r="D10" s="614">
        <f>D16/D11*100</f>
        <v>0.47868139073933325</v>
      </c>
      <c r="E10" s="614">
        <f>E16/E11*100</f>
        <v>0.48968354028785116</v>
      </c>
      <c r="F10" s="614">
        <f>F16/F11*100</f>
        <v>0.3954413655487204</v>
      </c>
      <c r="G10" s="614">
        <f>G16/G11*100</f>
        <v>0.4361513442896609</v>
      </c>
      <c r="H10" s="614">
        <f>H16/H11*100</f>
        <v>0.47445044783076296</v>
      </c>
      <c r="I10" s="606">
        <f t="shared" si="2"/>
        <v>0.4548816177392657</v>
      </c>
    </row>
    <row r="11" spans="1:9" s="604" customFormat="1" ht="18.75">
      <c r="A11" s="601" t="s">
        <v>532</v>
      </c>
      <c r="B11" s="602" t="s">
        <v>481</v>
      </c>
      <c r="C11" s="615">
        <f>'[5]BM2 aR'!I12</f>
        <v>3085.45</v>
      </c>
      <c r="D11" s="615">
        <f>D12+D15+D16</f>
        <v>3355.0499999999997</v>
      </c>
      <c r="E11" s="615">
        <f>E12+E15+E16</f>
        <v>3624.79</v>
      </c>
      <c r="F11" s="615">
        <f>F12+F15+F16</f>
        <v>4114.39</v>
      </c>
      <c r="G11" s="615">
        <f>G12+G15+G16</f>
        <v>4409.019999999999</v>
      </c>
      <c r="H11" s="615">
        <f>H12+H15+H16</f>
        <v>4676.99</v>
      </c>
      <c r="I11" s="615">
        <f t="shared" si="2"/>
        <v>4036.048</v>
      </c>
    </row>
    <row r="12" spans="1:10" s="613" customFormat="1" ht="18.75">
      <c r="A12" s="608" t="s">
        <v>482</v>
      </c>
      <c r="B12" s="609" t="s">
        <v>481</v>
      </c>
      <c r="C12" s="603">
        <f>'[5]BM2 aR'!I13</f>
        <v>3055.2</v>
      </c>
      <c r="D12" s="603">
        <f>D13+D14</f>
        <v>3307.9799999999996</v>
      </c>
      <c r="E12" s="603">
        <f>E13+E14</f>
        <v>3573.11</v>
      </c>
      <c r="F12" s="603">
        <f>F13+F14</f>
        <v>4062.6899999999996</v>
      </c>
      <c r="G12" s="603">
        <f>G13+G14</f>
        <v>4350.139999999999</v>
      </c>
      <c r="H12" s="603">
        <f>H13+H14</f>
        <v>4601.16</v>
      </c>
      <c r="I12" s="603">
        <f t="shared" si="2"/>
        <v>3979.0159999999996</v>
      </c>
      <c r="J12" s="1118">
        <f>(H12/C12)^(1/5)*100-100</f>
        <v>8.533932250734892</v>
      </c>
    </row>
    <row r="13" spans="1:13" s="610" customFormat="1" ht="18.75">
      <c r="A13" s="608" t="s">
        <v>487</v>
      </c>
      <c r="B13" s="609" t="s">
        <v>481</v>
      </c>
      <c r="C13" s="603">
        <f>'[5]BM2 aR'!I14</f>
        <v>2768.7</v>
      </c>
      <c r="D13" s="603">
        <v>2990.99</v>
      </c>
      <c r="E13" s="617">
        <f>3203.73+10</f>
        <v>3213.73</v>
      </c>
      <c r="F13" s="617">
        <f>3612.49+20</f>
        <v>3632.49</v>
      </c>
      <c r="G13" s="617">
        <f>3856.64+25</f>
        <v>3881.64</v>
      </c>
      <c r="H13" s="617">
        <f>4034.15+50</f>
        <v>4084.15</v>
      </c>
      <c r="I13" s="603">
        <f t="shared" si="2"/>
        <v>3560.6</v>
      </c>
      <c r="J13" s="1118">
        <f>(H13/C13)^(1/5)*100-100</f>
        <v>8.084932755114679</v>
      </c>
      <c r="K13" s="1146">
        <f>H13-G13</f>
        <v>202.51000000000022</v>
      </c>
      <c r="L13" s="1146">
        <f>G13-F13</f>
        <v>249.1500000000001</v>
      </c>
      <c r="M13" s="1146">
        <f>F13-E13</f>
        <v>418.75999999999976</v>
      </c>
    </row>
    <row r="14" spans="1:12" s="610" customFormat="1" ht="18.75">
      <c r="A14" s="608" t="s">
        <v>488</v>
      </c>
      <c r="B14" s="609" t="s">
        <v>481</v>
      </c>
      <c r="C14" s="603">
        <f>'[5]BM2 aR'!I15</f>
        <v>286.5</v>
      </c>
      <c r="D14" s="603">
        <v>316.99</v>
      </c>
      <c r="E14" s="617">
        <v>359.38</v>
      </c>
      <c r="F14" s="617">
        <v>430.2</v>
      </c>
      <c r="G14" s="617">
        <v>468.5</v>
      </c>
      <c r="H14" s="617">
        <v>517.01</v>
      </c>
      <c r="I14" s="603">
        <f t="shared" si="2"/>
        <v>418.416</v>
      </c>
      <c r="J14" s="1118">
        <f>(H14/C14)^(1/5)*100-100</f>
        <v>12.53169576464552</v>
      </c>
      <c r="K14" s="1146">
        <f>E14-D14</f>
        <v>42.389999999999986</v>
      </c>
      <c r="L14" s="1146">
        <f>F14-E14</f>
        <v>70.82</v>
      </c>
    </row>
    <row r="15" spans="1:10" s="744" customFormat="1" ht="18.75">
      <c r="A15" s="741" t="s">
        <v>485</v>
      </c>
      <c r="B15" s="605" t="s">
        <v>481</v>
      </c>
      <c r="C15" s="603">
        <f>'[5]BM2 aR'!I16</f>
        <v>18.91</v>
      </c>
      <c r="D15" s="606">
        <v>31.01</v>
      </c>
      <c r="E15" s="606">
        <v>33.93</v>
      </c>
      <c r="F15" s="606">
        <v>35.43</v>
      </c>
      <c r="G15" s="606">
        <v>39.65</v>
      </c>
      <c r="H15" s="606">
        <v>53.64</v>
      </c>
      <c r="I15" s="603">
        <f t="shared" si="2"/>
        <v>38.732000000000006</v>
      </c>
      <c r="J15" s="1118">
        <f>(H15/C15)^(1/5)*100-100</f>
        <v>23.18545956671494</v>
      </c>
    </row>
    <row r="16" spans="1:10" s="613" customFormat="1" ht="18.75">
      <c r="A16" s="608" t="s">
        <v>486</v>
      </c>
      <c r="B16" s="609" t="s">
        <v>481</v>
      </c>
      <c r="C16" s="603">
        <f>'[5]BM2 aR'!I17</f>
        <v>11.34</v>
      </c>
      <c r="D16" s="603">
        <v>16.06</v>
      </c>
      <c r="E16" s="603">
        <v>17.75</v>
      </c>
      <c r="F16" s="603">
        <v>16.27</v>
      </c>
      <c r="G16" s="603">
        <v>19.23</v>
      </c>
      <c r="H16" s="603">
        <v>22.19</v>
      </c>
      <c r="I16" s="603">
        <f t="shared" si="2"/>
        <v>18.3</v>
      </c>
      <c r="J16" s="1118">
        <f>(H16/C16)^(1/5)*100-100</f>
        <v>14.369138445336716</v>
      </c>
    </row>
    <row r="17" spans="1:9" s="604" customFormat="1" ht="18.75">
      <c r="A17" s="601" t="s">
        <v>533</v>
      </c>
      <c r="B17" s="602"/>
      <c r="C17" s="602"/>
      <c r="D17" s="615"/>
      <c r="E17" s="603"/>
      <c r="F17" s="603"/>
      <c r="G17" s="603"/>
      <c r="H17" s="603"/>
      <c r="I17" s="606"/>
    </row>
    <row r="18" spans="1:9" s="604" customFormat="1" ht="18.75">
      <c r="A18" s="601" t="s">
        <v>489</v>
      </c>
      <c r="B18" s="602"/>
      <c r="C18" s="602"/>
      <c r="D18" s="614"/>
      <c r="E18" s="614"/>
      <c r="F18" s="614"/>
      <c r="G18" s="614"/>
      <c r="H18" s="614"/>
      <c r="I18" s="606"/>
    </row>
    <row r="19" spans="1:10" s="644" customFormat="1" ht="18.75">
      <c r="A19" s="1040" t="s">
        <v>490</v>
      </c>
      <c r="B19" s="1025"/>
      <c r="C19" s="1041">
        <f aca="true" t="shared" si="3" ref="C19:H19">C21+C30+C33+C36+C39+C42+C45+C48+C51+C54+C57+C60+C63+C66+C70</f>
        <v>51.53099999999999</v>
      </c>
      <c r="D19" s="1041">
        <f t="shared" si="3"/>
        <v>51.17999999999999</v>
      </c>
      <c r="E19" s="1041">
        <f t="shared" si="3"/>
        <v>50.88199999999999</v>
      </c>
      <c r="F19" s="1041">
        <f t="shared" si="3"/>
        <v>50.580999999999996</v>
      </c>
      <c r="G19" s="1041">
        <f t="shared" si="3"/>
        <v>50.28099999999999</v>
      </c>
      <c r="H19" s="1041">
        <f t="shared" si="3"/>
        <v>49.980999999999995</v>
      </c>
      <c r="I19" s="1041">
        <f>SUM(D19:H19)/5</f>
        <v>50.580999999999996</v>
      </c>
      <c r="J19" s="1042"/>
    </row>
    <row r="20" spans="1:10" s="1045" customFormat="1" ht="18.75">
      <c r="A20" s="1043" t="s">
        <v>491</v>
      </c>
      <c r="B20" s="1038"/>
      <c r="C20" s="1038"/>
      <c r="D20" s="606"/>
      <c r="E20" s="606"/>
      <c r="F20" s="606"/>
      <c r="G20" s="606"/>
      <c r="H20" s="606"/>
      <c r="I20" s="1026"/>
      <c r="J20" s="1044">
        <f>51.411-51.391</f>
        <v>0.020000000000003126</v>
      </c>
    </row>
    <row r="21" spans="1:9" s="607" customFormat="1" ht="18.75">
      <c r="A21" s="1027" t="s">
        <v>492</v>
      </c>
      <c r="B21" s="605" t="s">
        <v>493</v>
      </c>
      <c r="C21" s="1046">
        <f aca="true" t="shared" si="4" ref="C21:H21">C22+C23</f>
        <v>18.459</v>
      </c>
      <c r="D21" s="1046">
        <f t="shared" si="4"/>
        <v>18.447</v>
      </c>
      <c r="E21" s="1046">
        <f t="shared" si="4"/>
        <v>18.561999999999998</v>
      </c>
      <c r="F21" s="1046">
        <f t="shared" si="4"/>
        <v>18.669999999999998</v>
      </c>
      <c r="G21" s="1046">
        <f t="shared" si="4"/>
        <v>18.743</v>
      </c>
      <c r="H21" s="1046">
        <f t="shared" si="4"/>
        <v>18.738</v>
      </c>
      <c r="I21" s="1047">
        <f aca="true" t="shared" si="5" ref="I21:I85">SUM(D21:H21)/5</f>
        <v>18.631999999999998</v>
      </c>
    </row>
    <row r="22" spans="1:9" s="607" customFormat="1" ht="18.75">
      <c r="A22" s="1027" t="s">
        <v>494</v>
      </c>
      <c r="B22" s="605" t="s">
        <v>493</v>
      </c>
      <c r="C22" s="1026">
        <f>'[5]BM2 aR'!I23</f>
        <v>4.62</v>
      </c>
      <c r="D22" s="1029">
        <v>5.045</v>
      </c>
      <c r="E22" s="1029">
        <v>5.282</v>
      </c>
      <c r="F22" s="1029">
        <v>5.39</v>
      </c>
      <c r="G22" s="1029">
        <v>5.463</v>
      </c>
      <c r="H22" s="1029">
        <v>5.458</v>
      </c>
      <c r="I22" s="1026">
        <f t="shared" si="5"/>
        <v>5.3275999999999994</v>
      </c>
    </row>
    <row r="23" spans="1:10" s="607" customFormat="1" ht="18.75">
      <c r="A23" s="1027" t="s">
        <v>495</v>
      </c>
      <c r="B23" s="605" t="s">
        <v>493</v>
      </c>
      <c r="C23" s="1026">
        <f>'[5]BM2 aR'!I24</f>
        <v>13.839</v>
      </c>
      <c r="D23" s="1029">
        <v>13.402</v>
      </c>
      <c r="E23" s="1029">
        <v>13.28</v>
      </c>
      <c r="F23" s="1029">
        <v>13.28</v>
      </c>
      <c r="G23" s="1029">
        <v>13.28</v>
      </c>
      <c r="H23" s="1029">
        <v>13.28</v>
      </c>
      <c r="I23" s="1026">
        <f t="shared" si="5"/>
        <v>13.304399999999998</v>
      </c>
      <c r="J23" s="1048">
        <f>I26+I27</f>
        <v>133.0152</v>
      </c>
    </row>
    <row r="24" spans="1:9" s="607" customFormat="1" ht="18.75">
      <c r="A24" s="1027" t="s">
        <v>496</v>
      </c>
      <c r="B24" s="605" t="s">
        <v>497</v>
      </c>
      <c r="C24" s="1026">
        <f>'[5]BM2 aR'!I25</f>
        <v>129.429</v>
      </c>
      <c r="D24" s="1029">
        <f>D27+D26</f>
        <v>130.998</v>
      </c>
      <c r="E24" s="1029">
        <f>E27+E26</f>
        <v>132.086</v>
      </c>
      <c r="F24" s="1029">
        <f>F27+F26</f>
        <v>133.03300000000002</v>
      </c>
      <c r="G24" s="1029">
        <f>G27+G26</f>
        <v>134.39499999999998</v>
      </c>
      <c r="H24" s="1029">
        <f>H27+H26</f>
        <v>134.564</v>
      </c>
      <c r="I24" s="1026">
        <f t="shared" si="5"/>
        <v>133.0152</v>
      </c>
    </row>
    <row r="25" spans="1:9" s="607" customFormat="1" ht="18.75" hidden="1">
      <c r="A25" s="1049" t="s">
        <v>498</v>
      </c>
      <c r="B25" s="605" t="s">
        <v>499</v>
      </c>
      <c r="C25" s="1026"/>
      <c r="D25" s="618"/>
      <c r="E25" s="618"/>
      <c r="F25" s="618"/>
      <c r="G25" s="618"/>
      <c r="H25" s="618"/>
      <c r="I25" s="1026"/>
    </row>
    <row r="26" spans="1:10" s="607" customFormat="1" ht="18.75">
      <c r="A26" s="1027" t="s">
        <v>500</v>
      </c>
      <c r="B26" s="605" t="s">
        <v>497</v>
      </c>
      <c r="C26" s="1026">
        <f>'[5]BM2 aR'!I27</f>
        <v>31.002</v>
      </c>
      <c r="D26" s="1029">
        <v>34.496</v>
      </c>
      <c r="E26" s="1029">
        <v>36.234</v>
      </c>
      <c r="F26" s="1029">
        <v>37.005</v>
      </c>
      <c r="G26" s="1029">
        <v>38.191</v>
      </c>
      <c r="H26" s="1029">
        <v>38.184</v>
      </c>
      <c r="I26" s="1026">
        <f t="shared" si="5"/>
        <v>36.822</v>
      </c>
      <c r="J26" s="839">
        <f>SUM(D26:H26)</f>
        <v>184.11</v>
      </c>
    </row>
    <row r="27" spans="1:10" s="607" customFormat="1" ht="18.75">
      <c r="A27" s="1027" t="s">
        <v>501</v>
      </c>
      <c r="B27" s="605" t="s">
        <v>497</v>
      </c>
      <c r="C27" s="1026">
        <f>'[5]BM2 aR'!I28</f>
        <v>98.427</v>
      </c>
      <c r="D27" s="1029">
        <v>96.502</v>
      </c>
      <c r="E27" s="1029">
        <v>95.852</v>
      </c>
      <c r="F27" s="1029">
        <v>96.028</v>
      </c>
      <c r="G27" s="1029">
        <v>96.204</v>
      </c>
      <c r="H27" s="1029">
        <v>96.38</v>
      </c>
      <c r="I27" s="1026">
        <f t="shared" si="5"/>
        <v>96.1932</v>
      </c>
      <c r="J27" s="839">
        <f>SUM(D27:H27)</f>
        <v>480.966</v>
      </c>
    </row>
    <row r="28" spans="1:9" s="607" customFormat="1" ht="18.75">
      <c r="A28" s="1040" t="s">
        <v>502</v>
      </c>
      <c r="B28" s="605"/>
      <c r="C28" s="1026"/>
      <c r="D28" s="616"/>
      <c r="E28" s="616"/>
      <c r="F28" s="616"/>
      <c r="G28" s="616"/>
      <c r="H28" s="616"/>
      <c r="I28" s="1026"/>
    </row>
    <row r="29" spans="1:9" s="607" customFormat="1" ht="18.75">
      <c r="A29" s="1027" t="s">
        <v>796</v>
      </c>
      <c r="B29" s="605"/>
      <c r="C29" s="1026"/>
      <c r="D29" s="616"/>
      <c r="E29" s="616"/>
      <c r="F29" s="616"/>
      <c r="G29" s="616"/>
      <c r="H29" s="616"/>
      <c r="I29" s="1026"/>
    </row>
    <row r="30" spans="1:9" s="607" customFormat="1" ht="18.75">
      <c r="A30" s="1027" t="s">
        <v>797</v>
      </c>
      <c r="B30" s="605" t="s">
        <v>493</v>
      </c>
      <c r="C30" s="1026">
        <f>'[5]BM2 aR'!I31</f>
        <v>0.005</v>
      </c>
      <c r="D30" s="1029">
        <v>0.005</v>
      </c>
      <c r="E30" s="1029">
        <f aca="true" t="shared" si="6" ref="E30:H31">D30</f>
        <v>0.005</v>
      </c>
      <c r="F30" s="1029">
        <f t="shared" si="6"/>
        <v>0.005</v>
      </c>
      <c r="G30" s="1029">
        <f t="shared" si="6"/>
        <v>0.005</v>
      </c>
      <c r="H30" s="1029">
        <f t="shared" si="6"/>
        <v>0.005</v>
      </c>
      <c r="I30" s="1026">
        <f t="shared" si="5"/>
        <v>0.005</v>
      </c>
    </row>
    <row r="31" spans="1:9" s="607" customFormat="1" ht="18.75">
      <c r="A31" s="1027" t="s">
        <v>503</v>
      </c>
      <c r="B31" s="605" t="s">
        <v>497</v>
      </c>
      <c r="C31" s="1026">
        <f>'[5]BM2 aR'!I32</f>
        <v>0.25</v>
      </c>
      <c r="D31" s="606">
        <v>0.25</v>
      </c>
      <c r="E31" s="606">
        <f t="shared" si="6"/>
        <v>0.25</v>
      </c>
      <c r="F31" s="606">
        <f t="shared" si="6"/>
        <v>0.25</v>
      </c>
      <c r="G31" s="606">
        <f t="shared" si="6"/>
        <v>0.25</v>
      </c>
      <c r="H31" s="606">
        <f t="shared" si="6"/>
        <v>0.25</v>
      </c>
      <c r="I31" s="1026">
        <f t="shared" si="5"/>
        <v>0.25</v>
      </c>
    </row>
    <row r="32" spans="1:9" s="607" customFormat="1" ht="18.75">
      <c r="A32" s="1027" t="s">
        <v>798</v>
      </c>
      <c r="B32" s="605"/>
      <c r="C32" s="1026"/>
      <c r="D32" s="606"/>
      <c r="E32" s="606"/>
      <c r="F32" s="606"/>
      <c r="G32" s="606"/>
      <c r="H32" s="606"/>
      <c r="I32" s="1026"/>
    </row>
    <row r="33" spans="1:9" s="607" customFormat="1" ht="18.75">
      <c r="A33" s="1027" t="s">
        <v>797</v>
      </c>
      <c r="B33" s="605" t="s">
        <v>493</v>
      </c>
      <c r="C33" s="1026">
        <f>'[5]BM2 aR'!I34</f>
        <v>3.725</v>
      </c>
      <c r="D33" s="1029">
        <v>3.7</v>
      </c>
      <c r="E33" s="1029">
        <v>3.5</v>
      </c>
      <c r="F33" s="1029">
        <v>3.32</v>
      </c>
      <c r="G33" s="1029">
        <v>3.173</v>
      </c>
      <c r="H33" s="1029">
        <v>3.145</v>
      </c>
      <c r="I33" s="1026">
        <f t="shared" si="5"/>
        <v>3.3676000000000004</v>
      </c>
    </row>
    <row r="34" spans="1:9" s="607" customFormat="1" ht="18.75">
      <c r="A34" s="1027" t="s">
        <v>503</v>
      </c>
      <c r="B34" s="605" t="s">
        <v>497</v>
      </c>
      <c r="C34" s="1026">
        <f>'[5]BM2 aR'!I35</f>
        <v>72.265</v>
      </c>
      <c r="D34" s="606">
        <v>74</v>
      </c>
      <c r="E34" s="606">
        <v>70</v>
      </c>
      <c r="F34" s="606">
        <v>66.4</v>
      </c>
      <c r="G34" s="606">
        <v>63.46</v>
      </c>
      <c r="H34" s="606">
        <v>62.9</v>
      </c>
      <c r="I34" s="1026">
        <f t="shared" si="5"/>
        <v>67.352</v>
      </c>
    </row>
    <row r="35" spans="1:9" s="607" customFormat="1" ht="18.75">
      <c r="A35" s="1027" t="s">
        <v>799</v>
      </c>
      <c r="B35" s="605"/>
      <c r="C35" s="1026"/>
      <c r="D35" s="606"/>
      <c r="E35" s="606"/>
      <c r="F35" s="606"/>
      <c r="G35" s="606"/>
      <c r="H35" s="606"/>
      <c r="I35" s="1026"/>
    </row>
    <row r="36" spans="1:9" s="607" customFormat="1" ht="18.75">
      <c r="A36" s="1027" t="s">
        <v>506</v>
      </c>
      <c r="B36" s="605" t="s">
        <v>493</v>
      </c>
      <c r="C36" s="1026">
        <f>'[5]BM2 aR'!I37</f>
        <v>0.3</v>
      </c>
      <c r="D36" s="1029">
        <v>0.3</v>
      </c>
      <c r="E36" s="1029">
        <v>0.294</v>
      </c>
      <c r="F36" s="1029">
        <v>0.29</v>
      </c>
      <c r="G36" s="1029">
        <f>F36</f>
        <v>0.29</v>
      </c>
      <c r="H36" s="1029">
        <v>0.295</v>
      </c>
      <c r="I36" s="1026">
        <f t="shared" si="5"/>
        <v>0.29379999999999995</v>
      </c>
    </row>
    <row r="37" spans="1:9" s="607" customFormat="1" ht="18.75">
      <c r="A37" s="1027" t="s">
        <v>504</v>
      </c>
      <c r="B37" s="605" t="s">
        <v>497</v>
      </c>
      <c r="C37" s="1026">
        <f>'[5]BM2 aR'!I38</f>
        <v>4.26</v>
      </c>
      <c r="D37" s="1029">
        <v>4.5</v>
      </c>
      <c r="E37" s="1029">
        <v>4.41</v>
      </c>
      <c r="F37" s="1029">
        <v>4.35</v>
      </c>
      <c r="G37" s="1029">
        <f>F37</f>
        <v>4.35</v>
      </c>
      <c r="H37" s="1029">
        <v>4.425</v>
      </c>
      <c r="I37" s="1026">
        <f t="shared" si="5"/>
        <v>4.407</v>
      </c>
    </row>
    <row r="38" spans="1:9" s="607" customFormat="1" ht="18.75">
      <c r="A38" s="1027" t="s">
        <v>800</v>
      </c>
      <c r="B38" s="605"/>
      <c r="C38" s="1026"/>
      <c r="D38" s="1029"/>
      <c r="E38" s="1029"/>
      <c r="F38" s="1029"/>
      <c r="G38" s="1029"/>
      <c r="H38" s="1029"/>
      <c r="I38" s="1026"/>
    </row>
    <row r="39" spans="1:9" s="607" customFormat="1" ht="18.75">
      <c r="A39" s="1027" t="s">
        <v>506</v>
      </c>
      <c r="B39" s="605" t="s">
        <v>493</v>
      </c>
      <c r="C39" s="1026">
        <f>'[5]BM2 aR'!I40</f>
        <v>0.262</v>
      </c>
      <c r="D39" s="1029">
        <v>0.192</v>
      </c>
      <c r="E39" s="1029">
        <f aca="true" t="shared" si="7" ref="E39:H40">D39</f>
        <v>0.192</v>
      </c>
      <c r="F39" s="1029">
        <f t="shared" si="7"/>
        <v>0.192</v>
      </c>
      <c r="G39" s="1029">
        <f t="shared" si="7"/>
        <v>0.192</v>
      </c>
      <c r="H39" s="1029">
        <f t="shared" si="7"/>
        <v>0.192</v>
      </c>
      <c r="I39" s="1026">
        <f t="shared" si="5"/>
        <v>0.192</v>
      </c>
    </row>
    <row r="40" spans="1:9" s="607" customFormat="1" ht="18.75">
      <c r="A40" s="1027" t="s">
        <v>504</v>
      </c>
      <c r="B40" s="605" t="s">
        <v>497</v>
      </c>
      <c r="C40" s="1026">
        <f>'[5]BM2 aR'!I41</f>
        <v>0.524</v>
      </c>
      <c r="D40" s="1029">
        <v>0.384</v>
      </c>
      <c r="E40" s="1029">
        <f t="shared" si="7"/>
        <v>0.384</v>
      </c>
      <c r="F40" s="1029">
        <f t="shared" si="7"/>
        <v>0.384</v>
      </c>
      <c r="G40" s="1029">
        <f t="shared" si="7"/>
        <v>0.384</v>
      </c>
      <c r="H40" s="1029">
        <f t="shared" si="7"/>
        <v>0.384</v>
      </c>
      <c r="I40" s="1026">
        <f t="shared" si="5"/>
        <v>0.384</v>
      </c>
    </row>
    <row r="41" spans="1:9" s="607" customFormat="1" ht="18.75">
      <c r="A41" s="1027" t="s">
        <v>505</v>
      </c>
      <c r="B41" s="605"/>
      <c r="C41" s="1026"/>
      <c r="D41" s="606"/>
      <c r="E41" s="606"/>
      <c r="F41" s="606"/>
      <c r="G41" s="606"/>
      <c r="H41" s="606"/>
      <c r="I41" s="1026"/>
    </row>
    <row r="42" spans="1:9" s="607" customFormat="1" ht="18.75">
      <c r="A42" s="1027" t="s">
        <v>506</v>
      </c>
      <c r="B42" s="605" t="s">
        <v>493</v>
      </c>
      <c r="C42" s="1026">
        <f>'[5]BM2 aR'!I43</f>
        <v>0.085</v>
      </c>
      <c r="D42" s="1029">
        <v>0.095</v>
      </c>
      <c r="E42" s="1029">
        <f aca="true" t="shared" si="8" ref="E42:G43">D42</f>
        <v>0.095</v>
      </c>
      <c r="F42" s="1029">
        <f t="shared" si="8"/>
        <v>0.095</v>
      </c>
      <c r="G42" s="1029">
        <f t="shared" si="8"/>
        <v>0.095</v>
      </c>
      <c r="H42" s="1029">
        <v>0.083</v>
      </c>
      <c r="I42" s="1026">
        <f t="shared" si="5"/>
        <v>0.0926</v>
      </c>
    </row>
    <row r="43" spans="1:9" s="607" customFormat="1" ht="18.75">
      <c r="A43" s="1027" t="s">
        <v>504</v>
      </c>
      <c r="B43" s="605" t="s">
        <v>497</v>
      </c>
      <c r="C43" s="1026">
        <f>'[5]BM2 aR'!I44</f>
        <v>0.085</v>
      </c>
      <c r="D43" s="1029">
        <v>0.095</v>
      </c>
      <c r="E43" s="1029">
        <f t="shared" si="8"/>
        <v>0.095</v>
      </c>
      <c r="F43" s="1029">
        <f t="shared" si="8"/>
        <v>0.095</v>
      </c>
      <c r="G43" s="1029">
        <f t="shared" si="8"/>
        <v>0.095</v>
      </c>
      <c r="H43" s="1029">
        <f>H42</f>
        <v>0.083</v>
      </c>
      <c r="I43" s="1026">
        <f t="shared" si="5"/>
        <v>0.0926</v>
      </c>
    </row>
    <row r="44" spans="1:9" s="607" customFormat="1" ht="18.75">
      <c r="A44" s="1027" t="s">
        <v>507</v>
      </c>
      <c r="B44" s="605"/>
      <c r="C44" s="1026"/>
      <c r="D44" s="606"/>
      <c r="E44" s="606"/>
      <c r="F44" s="606"/>
      <c r="G44" s="606"/>
      <c r="H44" s="606"/>
      <c r="I44" s="1026"/>
    </row>
    <row r="45" spans="1:9" s="607" customFormat="1" ht="18.75">
      <c r="A45" s="1027" t="s">
        <v>506</v>
      </c>
      <c r="B45" s="605" t="s">
        <v>493</v>
      </c>
      <c r="C45" s="1026">
        <f>'[5]BM2 aR'!I46</f>
        <v>0.511</v>
      </c>
      <c r="D45" s="1029">
        <v>0.526</v>
      </c>
      <c r="E45" s="1029">
        <f aca="true" t="shared" si="9" ref="E45:G46">D45</f>
        <v>0.526</v>
      </c>
      <c r="F45" s="1029">
        <f t="shared" si="9"/>
        <v>0.526</v>
      </c>
      <c r="G45" s="1029">
        <f t="shared" si="9"/>
        <v>0.526</v>
      </c>
      <c r="H45" s="1029">
        <v>0.472</v>
      </c>
      <c r="I45" s="1026">
        <f t="shared" si="5"/>
        <v>0.5152</v>
      </c>
    </row>
    <row r="46" spans="1:9" s="607" customFormat="1" ht="18.75">
      <c r="A46" s="1027" t="s">
        <v>504</v>
      </c>
      <c r="B46" s="605" t="s">
        <v>497</v>
      </c>
      <c r="C46" s="1026">
        <f>'[5]BM2 aR'!I47</f>
        <v>0.614</v>
      </c>
      <c r="D46" s="1029">
        <v>0.631</v>
      </c>
      <c r="E46" s="1029">
        <f t="shared" si="9"/>
        <v>0.631</v>
      </c>
      <c r="F46" s="1029">
        <f t="shared" si="9"/>
        <v>0.631</v>
      </c>
      <c r="G46" s="1029">
        <f t="shared" si="9"/>
        <v>0.631</v>
      </c>
      <c r="H46" s="1029">
        <v>0.566</v>
      </c>
      <c r="I46" s="1026">
        <f t="shared" si="5"/>
        <v>0.618</v>
      </c>
    </row>
    <row r="47" spans="1:9" s="607" customFormat="1" ht="18.75">
      <c r="A47" s="1027" t="s">
        <v>508</v>
      </c>
      <c r="B47" s="605"/>
      <c r="C47" s="1026"/>
      <c r="D47" s="606"/>
      <c r="E47" s="606"/>
      <c r="F47" s="606"/>
      <c r="G47" s="606"/>
      <c r="H47" s="606"/>
      <c r="I47" s="1026"/>
    </row>
    <row r="48" spans="1:9" s="607" customFormat="1" ht="18.75">
      <c r="A48" s="1027" t="s">
        <v>506</v>
      </c>
      <c r="B48" s="605" t="s">
        <v>493</v>
      </c>
      <c r="C48" s="1026">
        <f>'[5]BM2 aR'!I49</f>
        <v>0.645</v>
      </c>
      <c r="D48" s="1029">
        <v>0.642</v>
      </c>
      <c r="E48" s="1029">
        <f aca="true" t="shared" si="10" ref="E48:H49">D48</f>
        <v>0.642</v>
      </c>
      <c r="F48" s="1029">
        <f t="shared" si="10"/>
        <v>0.642</v>
      </c>
      <c r="G48" s="1029">
        <f t="shared" si="10"/>
        <v>0.642</v>
      </c>
      <c r="H48" s="1029">
        <f t="shared" si="10"/>
        <v>0.642</v>
      </c>
      <c r="I48" s="1026">
        <f t="shared" si="5"/>
        <v>0.642</v>
      </c>
    </row>
    <row r="49" spans="1:9" s="607" customFormat="1" ht="18.75">
      <c r="A49" s="1027" t="s">
        <v>504</v>
      </c>
      <c r="B49" s="605" t="s">
        <v>497</v>
      </c>
      <c r="C49" s="1026">
        <f>'[5]BM2 aR'!I50</f>
        <v>7.74</v>
      </c>
      <c r="D49" s="1029">
        <v>7.704</v>
      </c>
      <c r="E49" s="1029">
        <f t="shared" si="10"/>
        <v>7.704</v>
      </c>
      <c r="F49" s="1029">
        <f t="shared" si="10"/>
        <v>7.704</v>
      </c>
      <c r="G49" s="1029">
        <f t="shared" si="10"/>
        <v>7.704</v>
      </c>
      <c r="H49" s="1029">
        <f t="shared" si="10"/>
        <v>7.704</v>
      </c>
      <c r="I49" s="1026">
        <f t="shared" si="5"/>
        <v>7.703999999999999</v>
      </c>
    </row>
    <row r="50" spans="1:9" s="607" customFormat="1" ht="18.75">
      <c r="A50" s="1027" t="s">
        <v>509</v>
      </c>
      <c r="B50" s="605"/>
      <c r="C50" s="1026"/>
      <c r="D50" s="606"/>
      <c r="E50" s="606"/>
      <c r="F50" s="606"/>
      <c r="G50" s="606"/>
      <c r="H50" s="606"/>
      <c r="I50" s="1026"/>
    </row>
    <row r="51" spans="1:9" s="607" customFormat="1" ht="18.75">
      <c r="A51" s="1027" t="s">
        <v>506</v>
      </c>
      <c r="B51" s="605" t="s">
        <v>493</v>
      </c>
      <c r="C51" s="1026">
        <f>'[5]BM2 aR'!I52</f>
        <v>0.21</v>
      </c>
      <c r="D51" s="1029">
        <v>0.142</v>
      </c>
      <c r="E51" s="1029">
        <f aca="true" t="shared" si="11" ref="E51:H52">D51</f>
        <v>0.142</v>
      </c>
      <c r="F51" s="1029">
        <f t="shared" si="11"/>
        <v>0.142</v>
      </c>
      <c r="G51" s="1029">
        <f t="shared" si="11"/>
        <v>0.142</v>
      </c>
      <c r="H51" s="1029">
        <f t="shared" si="11"/>
        <v>0.142</v>
      </c>
      <c r="I51" s="1026">
        <f t="shared" si="5"/>
        <v>0.142</v>
      </c>
    </row>
    <row r="52" spans="1:9" s="607" customFormat="1" ht="18.75">
      <c r="A52" s="1027" t="s">
        <v>504</v>
      </c>
      <c r="B52" s="605" t="s">
        <v>497</v>
      </c>
      <c r="C52" s="1026">
        <f>'[5]BM2 aR'!I53</f>
        <v>0.318</v>
      </c>
      <c r="D52" s="1029">
        <v>0.213</v>
      </c>
      <c r="E52" s="1029">
        <f t="shared" si="11"/>
        <v>0.213</v>
      </c>
      <c r="F52" s="1029">
        <f t="shared" si="11"/>
        <v>0.213</v>
      </c>
      <c r="G52" s="1029">
        <f t="shared" si="11"/>
        <v>0.213</v>
      </c>
      <c r="H52" s="1029">
        <f t="shared" si="11"/>
        <v>0.213</v>
      </c>
      <c r="I52" s="1026">
        <f t="shared" si="5"/>
        <v>0.213</v>
      </c>
    </row>
    <row r="53" spans="1:9" s="607" customFormat="1" ht="18.75">
      <c r="A53" s="1027" t="s">
        <v>801</v>
      </c>
      <c r="B53" s="605"/>
      <c r="C53" s="1026"/>
      <c r="D53" s="1029"/>
      <c r="E53" s="1029"/>
      <c r="F53" s="1029"/>
      <c r="G53" s="1029"/>
      <c r="H53" s="1029"/>
      <c r="I53" s="1026"/>
    </row>
    <row r="54" spans="1:9" s="607" customFormat="1" ht="18.75">
      <c r="A54" s="1027" t="s">
        <v>511</v>
      </c>
      <c r="B54" s="605" t="s">
        <v>493</v>
      </c>
      <c r="C54" s="1026">
        <f>'[5]BM2 aR'!I55</f>
        <v>0.398</v>
      </c>
      <c r="D54" s="1029">
        <v>0.455</v>
      </c>
      <c r="E54" s="1029">
        <v>0.505</v>
      </c>
      <c r="F54" s="1029">
        <v>0.555</v>
      </c>
      <c r="G54" s="1029">
        <v>0.605</v>
      </c>
      <c r="H54" s="1029">
        <v>0.655</v>
      </c>
      <c r="I54" s="1026">
        <f t="shared" si="5"/>
        <v>0.555</v>
      </c>
    </row>
    <row r="55" spans="1:9" s="607" customFormat="1" ht="18.75">
      <c r="A55" s="1027" t="s">
        <v>512</v>
      </c>
      <c r="B55" s="605" t="s">
        <v>497</v>
      </c>
      <c r="C55" s="1026">
        <f>'[5]BM2 aR'!I56</f>
        <v>0.057</v>
      </c>
      <c r="D55" s="1029">
        <v>0.057</v>
      </c>
      <c r="E55" s="1029">
        <v>0.057</v>
      </c>
      <c r="F55" s="1029">
        <v>0.398</v>
      </c>
      <c r="G55" s="1029">
        <v>0.501</v>
      </c>
      <c r="H55" s="1029">
        <v>0.521</v>
      </c>
      <c r="I55" s="1026">
        <f t="shared" si="5"/>
        <v>0.30679999999999996</v>
      </c>
    </row>
    <row r="56" spans="1:9" s="607" customFormat="1" ht="18.75">
      <c r="A56" s="1027" t="s">
        <v>510</v>
      </c>
      <c r="B56" s="605"/>
      <c r="C56" s="1026"/>
      <c r="D56" s="1029"/>
      <c r="E56" s="616"/>
      <c r="F56" s="616"/>
      <c r="G56" s="616"/>
      <c r="H56" s="616"/>
      <c r="I56" s="1026"/>
    </row>
    <row r="57" spans="1:9" s="607" customFormat="1" ht="18.75">
      <c r="A57" s="1027" t="s">
        <v>511</v>
      </c>
      <c r="B57" s="605" t="s">
        <v>493</v>
      </c>
      <c r="C57" s="1026">
        <f>'[5]BM2 aR'!I58</f>
        <v>16.355</v>
      </c>
      <c r="D57" s="1029">
        <v>16.235</v>
      </c>
      <c r="E57" s="1029">
        <v>16.13</v>
      </c>
      <c r="F57" s="1029">
        <v>16.015</v>
      </c>
      <c r="G57" s="1029">
        <v>15.9</v>
      </c>
      <c r="H57" s="1029">
        <v>15.812</v>
      </c>
      <c r="I57" s="1026">
        <f t="shared" si="5"/>
        <v>16.0184</v>
      </c>
    </row>
    <row r="58" spans="1:9" s="607" customFormat="1" ht="18.75">
      <c r="A58" s="1027" t="s">
        <v>512</v>
      </c>
      <c r="B58" s="605" t="s">
        <v>497</v>
      </c>
      <c r="C58" s="1026">
        <f>'[5]BM2 aR'!I59</f>
        <v>36.166</v>
      </c>
      <c r="D58" s="1029">
        <v>39.9</v>
      </c>
      <c r="E58" s="1029">
        <v>43.551</v>
      </c>
      <c r="F58" s="1029">
        <v>48.045</v>
      </c>
      <c r="G58" s="1029">
        <v>47.7</v>
      </c>
      <c r="H58" s="1029">
        <v>47.436</v>
      </c>
      <c r="I58" s="1026">
        <f t="shared" si="5"/>
        <v>45.32639999999999</v>
      </c>
    </row>
    <row r="59" spans="1:9" s="607" customFormat="1" ht="18.75">
      <c r="A59" s="1027" t="s">
        <v>18</v>
      </c>
      <c r="B59" s="605"/>
      <c r="C59" s="1026"/>
      <c r="D59" s="1029"/>
      <c r="E59" s="616"/>
      <c r="F59" s="616"/>
      <c r="G59" s="616"/>
      <c r="H59" s="616"/>
      <c r="I59" s="1026"/>
    </row>
    <row r="60" spans="1:9" s="607" customFormat="1" ht="18.75">
      <c r="A60" s="1027" t="s">
        <v>513</v>
      </c>
      <c r="B60" s="605" t="s">
        <v>493</v>
      </c>
      <c r="C60" s="1026">
        <f>'[5]BM2 aR'!I61</f>
        <v>5.94</v>
      </c>
      <c r="D60" s="1029">
        <v>6.04</v>
      </c>
      <c r="E60" s="1029">
        <v>6.14</v>
      </c>
      <c r="F60" s="1029">
        <v>6.24</v>
      </c>
      <c r="G60" s="1029">
        <v>6.34</v>
      </c>
      <c r="H60" s="1029">
        <v>6.44</v>
      </c>
      <c r="I60" s="1026">
        <f t="shared" si="5"/>
        <v>6.24</v>
      </c>
    </row>
    <row r="61" spans="1:9" s="607" customFormat="1" ht="18.75">
      <c r="A61" s="1027" t="s">
        <v>514</v>
      </c>
      <c r="B61" s="605" t="s">
        <v>497</v>
      </c>
      <c r="C61" s="1026">
        <f>'[5]BM2 aR'!I63</f>
        <v>5.741</v>
      </c>
      <c r="D61" s="1029">
        <v>6.886</v>
      </c>
      <c r="E61" s="1029">
        <v>7.568</v>
      </c>
      <c r="F61" s="1029">
        <v>11.603</v>
      </c>
      <c r="G61" s="1029">
        <v>12.445</v>
      </c>
      <c r="H61" s="1029">
        <v>13.088</v>
      </c>
      <c r="I61" s="1026">
        <f t="shared" si="5"/>
        <v>10.318000000000001</v>
      </c>
    </row>
    <row r="62" spans="1:9" s="607" customFormat="1" ht="18.75">
      <c r="A62" s="1027" t="s">
        <v>515</v>
      </c>
      <c r="B62" s="605"/>
      <c r="C62" s="1026"/>
      <c r="D62" s="1029"/>
      <c r="E62" s="606"/>
      <c r="F62" s="606"/>
      <c r="G62" s="606"/>
      <c r="H62" s="606"/>
      <c r="I62" s="1026"/>
    </row>
    <row r="63" spans="1:9" s="607" customFormat="1" ht="18.75">
      <c r="A63" s="1027" t="s">
        <v>513</v>
      </c>
      <c r="B63" s="605" t="s">
        <v>493</v>
      </c>
      <c r="C63" s="1026">
        <f>'[5]BM2 aR'!I65</f>
        <v>3.65</v>
      </c>
      <c r="D63" s="1028">
        <v>3.309</v>
      </c>
      <c r="E63" s="1029">
        <v>2.953</v>
      </c>
      <c r="F63" s="1029">
        <v>2.589</v>
      </c>
      <c r="G63" s="1029">
        <v>2.225</v>
      </c>
      <c r="H63" s="1029">
        <v>1.866</v>
      </c>
      <c r="I63" s="1026">
        <f t="shared" si="5"/>
        <v>2.5884</v>
      </c>
    </row>
    <row r="64" spans="1:9" s="607" customFormat="1" ht="18.75">
      <c r="A64" s="1027" t="s">
        <v>514</v>
      </c>
      <c r="B64" s="605" t="s">
        <v>497</v>
      </c>
      <c r="C64" s="1026">
        <f>'[5]BM2 aR'!I66</f>
        <v>3.635</v>
      </c>
      <c r="D64" s="1028">
        <f>D63</f>
        <v>3.309</v>
      </c>
      <c r="E64" s="1029">
        <v>3.247</v>
      </c>
      <c r="F64" s="1029">
        <v>3.107</v>
      </c>
      <c r="G64" s="1029">
        <v>2.67</v>
      </c>
      <c r="H64" s="1029">
        <v>2.239</v>
      </c>
      <c r="I64" s="1026">
        <f t="shared" si="5"/>
        <v>2.9143999999999997</v>
      </c>
    </row>
    <row r="65" spans="1:9" s="607" customFormat="1" ht="18.75">
      <c r="A65" s="1027" t="s">
        <v>516</v>
      </c>
      <c r="B65" s="605"/>
      <c r="C65" s="1026"/>
      <c r="D65" s="1050"/>
      <c r="E65" s="606"/>
      <c r="F65" s="606"/>
      <c r="G65" s="606"/>
      <c r="H65" s="606"/>
      <c r="I65" s="1026"/>
    </row>
    <row r="66" spans="1:9" s="607" customFormat="1" ht="18.75">
      <c r="A66" s="1027" t="s">
        <v>513</v>
      </c>
      <c r="B66" s="605" t="s">
        <v>493</v>
      </c>
      <c r="C66" s="1026">
        <f>'[5]BM2 aR'!I68</f>
        <v>0.543</v>
      </c>
      <c r="D66" s="1029">
        <v>0.639</v>
      </c>
      <c r="E66" s="1029">
        <v>0.733</v>
      </c>
      <c r="F66" s="1029">
        <v>0.827</v>
      </c>
      <c r="G66" s="1029">
        <v>0.92</v>
      </c>
      <c r="H66" s="1029">
        <v>0.999</v>
      </c>
      <c r="I66" s="1026">
        <f t="shared" si="5"/>
        <v>0.8235999999999999</v>
      </c>
    </row>
    <row r="67" spans="1:9" s="607" customFormat="1" ht="18.75">
      <c r="A67" s="1027" t="s">
        <v>514</v>
      </c>
      <c r="B67" s="605" t="s">
        <v>497</v>
      </c>
      <c r="C67" s="1026">
        <f>'[5]BM2 aR'!I69</f>
        <v>0.816</v>
      </c>
      <c r="D67" s="1029">
        <v>0.983</v>
      </c>
      <c r="E67" s="1029">
        <v>1.23</v>
      </c>
      <c r="F67" s="1029">
        <v>1.412</v>
      </c>
      <c r="G67" s="1029">
        <v>1.725</v>
      </c>
      <c r="H67" s="1029">
        <v>1.979</v>
      </c>
      <c r="I67" s="1026">
        <f t="shared" si="5"/>
        <v>1.4658</v>
      </c>
    </row>
    <row r="68" spans="1:9" s="607" customFormat="1" ht="18.75" hidden="1">
      <c r="A68" s="1027" t="s">
        <v>517</v>
      </c>
      <c r="B68" s="605"/>
      <c r="C68" s="1026" t="e">
        <f>'[5]BM2 aR'!I70</f>
        <v>#REF!</v>
      </c>
      <c r="D68" s="1029"/>
      <c r="E68" s="606"/>
      <c r="F68" s="606"/>
      <c r="G68" s="606"/>
      <c r="H68" s="606"/>
      <c r="I68" s="1026"/>
    </row>
    <row r="69" spans="1:9" s="607" customFormat="1" ht="18.75">
      <c r="A69" s="1027" t="s">
        <v>517</v>
      </c>
      <c r="B69" s="605"/>
      <c r="C69" s="1026"/>
      <c r="D69" s="1029"/>
      <c r="E69" s="606"/>
      <c r="F69" s="606"/>
      <c r="G69" s="606"/>
      <c r="H69" s="606"/>
      <c r="I69" s="1026"/>
    </row>
    <row r="70" spans="1:9" s="607" customFormat="1" ht="18.75">
      <c r="A70" s="1027" t="s">
        <v>513</v>
      </c>
      <c r="B70" s="605" t="s">
        <v>493</v>
      </c>
      <c r="C70" s="1026">
        <f>'[5]BM2 aR'!I71</f>
        <v>0.443</v>
      </c>
      <c r="D70" s="1029">
        <v>0.453</v>
      </c>
      <c r="E70" s="1029">
        <v>0.463</v>
      </c>
      <c r="F70" s="1029">
        <v>0.473</v>
      </c>
      <c r="G70" s="1029">
        <v>0.483</v>
      </c>
      <c r="H70" s="1029">
        <v>0.495</v>
      </c>
      <c r="I70" s="1026">
        <f t="shared" si="5"/>
        <v>0.4734</v>
      </c>
    </row>
    <row r="71" spans="1:9" s="607" customFormat="1" ht="18.75">
      <c r="A71" s="1027" t="s">
        <v>514</v>
      </c>
      <c r="B71" s="605" t="s">
        <v>497</v>
      </c>
      <c r="C71" s="1026">
        <f>'[5]BM2 aR'!I72</f>
        <v>2.828</v>
      </c>
      <c r="D71" s="1029">
        <v>3.501</v>
      </c>
      <c r="E71" s="1029">
        <f>D71</f>
        <v>3.501</v>
      </c>
      <c r="F71" s="1029">
        <v>4.388</v>
      </c>
      <c r="G71" s="1029">
        <v>4.485</v>
      </c>
      <c r="H71" s="1029">
        <v>4.583</v>
      </c>
      <c r="I71" s="1026">
        <f t="shared" si="5"/>
        <v>4.0916</v>
      </c>
    </row>
    <row r="72" spans="1:9" s="1051" customFormat="1" ht="18.75">
      <c r="A72" s="1043" t="s">
        <v>518</v>
      </c>
      <c r="B72" s="1038"/>
      <c r="C72" s="1026"/>
      <c r="D72" s="606"/>
      <c r="E72" s="606"/>
      <c r="F72" s="606"/>
      <c r="G72" s="606"/>
      <c r="H72" s="606"/>
      <c r="I72" s="1026"/>
    </row>
    <row r="73" spans="1:9" s="1051" customFormat="1" ht="18.75">
      <c r="A73" s="1052" t="s">
        <v>948</v>
      </c>
      <c r="B73" s="605" t="s">
        <v>452</v>
      </c>
      <c r="C73" s="1026">
        <f aca="true" t="shared" si="12" ref="C73:I73">SUM(C74:C77)</f>
        <v>66.642</v>
      </c>
      <c r="D73" s="1026">
        <f t="shared" si="12"/>
        <v>70.15</v>
      </c>
      <c r="E73" s="1026">
        <f t="shared" si="12"/>
        <v>78.28</v>
      </c>
      <c r="F73" s="1026">
        <f t="shared" si="12"/>
        <v>83.5</v>
      </c>
      <c r="G73" s="1026">
        <f t="shared" si="12"/>
        <v>86.55</v>
      </c>
      <c r="H73" s="1026">
        <f t="shared" si="12"/>
        <v>88</v>
      </c>
      <c r="I73" s="1026">
        <f t="shared" si="12"/>
        <v>81.296</v>
      </c>
    </row>
    <row r="74" spans="1:9" s="638" customFormat="1" ht="18.75">
      <c r="A74" s="1027" t="s">
        <v>950</v>
      </c>
      <c r="B74" s="605" t="s">
        <v>452</v>
      </c>
      <c r="C74" s="1026">
        <f>'[5]BM2 aR'!I75</f>
        <v>0.65</v>
      </c>
      <c r="D74" s="1029">
        <v>0.65</v>
      </c>
      <c r="E74" s="1029">
        <v>0.58</v>
      </c>
      <c r="F74" s="1029">
        <v>0.5</v>
      </c>
      <c r="G74" s="1029">
        <v>0.45</v>
      </c>
      <c r="H74" s="1029">
        <v>0.4</v>
      </c>
      <c r="I74" s="1026">
        <f t="shared" si="5"/>
        <v>0.516</v>
      </c>
    </row>
    <row r="75" spans="1:9" s="607" customFormat="1" ht="18.75">
      <c r="A75" s="1027" t="s">
        <v>949</v>
      </c>
      <c r="B75" s="605" t="s">
        <v>452</v>
      </c>
      <c r="C75" s="1026">
        <f>'[5]BM2 aR'!I76</f>
        <v>5.807</v>
      </c>
      <c r="D75" s="1029">
        <v>6.5</v>
      </c>
      <c r="E75" s="1029">
        <v>11.9</v>
      </c>
      <c r="F75" s="1029">
        <v>15</v>
      </c>
      <c r="G75" s="1029">
        <v>17.3</v>
      </c>
      <c r="H75" s="1029">
        <v>18</v>
      </c>
      <c r="I75" s="1026">
        <f t="shared" si="5"/>
        <v>13.74</v>
      </c>
    </row>
    <row r="76" spans="1:9" s="607" customFormat="1" ht="18.75">
      <c r="A76" s="1027" t="s">
        <v>951</v>
      </c>
      <c r="B76" s="605" t="s">
        <v>452</v>
      </c>
      <c r="C76" s="1026">
        <f>'[5]BM2 aR'!I77</f>
        <v>57.5</v>
      </c>
      <c r="D76" s="1029">
        <v>60</v>
      </c>
      <c r="E76" s="1029">
        <v>62.5</v>
      </c>
      <c r="F76" s="1029">
        <v>64</v>
      </c>
      <c r="G76" s="1029">
        <v>64.5</v>
      </c>
      <c r="H76" s="1029">
        <v>65</v>
      </c>
      <c r="I76" s="1026">
        <f t="shared" si="5"/>
        <v>63.2</v>
      </c>
    </row>
    <row r="77" spans="1:9" s="607" customFormat="1" ht="18.75">
      <c r="A77" s="1027" t="s">
        <v>952</v>
      </c>
      <c r="B77" s="605" t="s">
        <v>452</v>
      </c>
      <c r="C77" s="1026">
        <f>'[5]BM2 aR'!I78</f>
        <v>2.685</v>
      </c>
      <c r="D77" s="1029">
        <v>3</v>
      </c>
      <c r="E77" s="1029">
        <v>3.3</v>
      </c>
      <c r="F77" s="1029">
        <v>4</v>
      </c>
      <c r="G77" s="1029">
        <v>4.3</v>
      </c>
      <c r="H77" s="1029">
        <v>4.6</v>
      </c>
      <c r="I77" s="1026">
        <f t="shared" si="5"/>
        <v>3.8400000000000007</v>
      </c>
    </row>
    <row r="78" spans="1:9" s="607" customFormat="1" ht="18.75">
      <c r="A78" s="1027" t="s">
        <v>519</v>
      </c>
      <c r="B78" s="605" t="s">
        <v>520</v>
      </c>
      <c r="C78" s="1133">
        <f>'[5]BM2 aR'!I79</f>
        <v>420</v>
      </c>
      <c r="D78" s="1133">
        <v>441</v>
      </c>
      <c r="E78" s="1133">
        <v>450</v>
      </c>
      <c r="F78" s="1133">
        <v>454</v>
      </c>
      <c r="G78" s="1133">
        <v>458</v>
      </c>
      <c r="H78" s="1133">
        <v>460</v>
      </c>
      <c r="I78" s="1133">
        <f t="shared" si="5"/>
        <v>452.6</v>
      </c>
    </row>
    <row r="79" spans="1:9" s="607" customFormat="1" ht="18.75">
      <c r="A79" s="1027" t="s">
        <v>521</v>
      </c>
      <c r="B79" s="605" t="s">
        <v>497</v>
      </c>
      <c r="C79" s="1026">
        <f>'[5]BM2 aR'!I80</f>
        <v>5.164</v>
      </c>
      <c r="D79" s="1029">
        <v>5.6</v>
      </c>
      <c r="E79" s="1029">
        <v>6.7</v>
      </c>
      <c r="F79" s="1029">
        <v>7.7</v>
      </c>
      <c r="G79" s="1029">
        <v>8</v>
      </c>
      <c r="H79" s="1029">
        <v>8.4</v>
      </c>
      <c r="I79" s="1026">
        <f t="shared" si="5"/>
        <v>7.279999999999999</v>
      </c>
    </row>
    <row r="80" spans="1:9" s="1054" customFormat="1" ht="18.75">
      <c r="A80" s="1052" t="s">
        <v>935</v>
      </c>
      <c r="B80" s="1053" t="s">
        <v>937</v>
      </c>
      <c r="C80" s="1026">
        <f>'[5]BM2 aR'!I81</f>
        <v>8.4</v>
      </c>
      <c r="D80" s="1029">
        <v>8.8</v>
      </c>
      <c r="E80" s="1029">
        <v>9</v>
      </c>
      <c r="F80" s="1029">
        <v>9.1</v>
      </c>
      <c r="G80" s="1029">
        <v>9.2</v>
      </c>
      <c r="H80" s="1029">
        <v>9.2</v>
      </c>
      <c r="I80" s="1026">
        <f t="shared" si="5"/>
        <v>9.059999999999999</v>
      </c>
    </row>
    <row r="81" spans="1:12" s="1054" customFormat="1" ht="18.75">
      <c r="A81" s="1052" t="s">
        <v>936</v>
      </c>
      <c r="B81" s="1053" t="s">
        <v>938</v>
      </c>
      <c r="C81" s="1026"/>
      <c r="D81" s="1029"/>
      <c r="E81" s="1029"/>
      <c r="F81" s="1029">
        <v>3.2</v>
      </c>
      <c r="G81" s="1029">
        <v>4</v>
      </c>
      <c r="H81" s="1029">
        <v>4.8</v>
      </c>
      <c r="I81" s="1026">
        <f>SUM(D81:H81)/3</f>
        <v>4</v>
      </c>
      <c r="J81" s="1055">
        <f>F81*10</f>
        <v>32</v>
      </c>
      <c r="K81" s="1055">
        <f>G81*10</f>
        <v>40</v>
      </c>
      <c r="L81" s="1055">
        <f>H81*10</f>
        <v>48</v>
      </c>
    </row>
    <row r="82" spans="1:9" s="1059" customFormat="1" ht="18.75">
      <c r="A82" s="1056" t="s">
        <v>522</v>
      </c>
      <c r="B82" s="1057"/>
      <c r="C82" s="1026"/>
      <c r="D82" s="1058"/>
      <c r="E82" s="1058"/>
      <c r="F82" s="1058"/>
      <c r="G82" s="1058"/>
      <c r="H82" s="1058"/>
      <c r="I82" s="1026"/>
    </row>
    <row r="83" spans="1:9" s="1062" customFormat="1" ht="18.75">
      <c r="A83" s="1060" t="s">
        <v>523</v>
      </c>
      <c r="B83" s="1061" t="s">
        <v>497</v>
      </c>
      <c r="C83" s="1026">
        <f>'[5]BM2 aR'!I83</f>
        <v>0.765</v>
      </c>
      <c r="D83" s="1029">
        <v>0.803</v>
      </c>
      <c r="E83" s="1029">
        <v>0.879</v>
      </c>
      <c r="F83" s="1029">
        <v>0.918</v>
      </c>
      <c r="G83" s="1029">
        <v>0.994</v>
      </c>
      <c r="H83" s="1029">
        <v>1.32</v>
      </c>
      <c r="I83" s="1026">
        <f t="shared" si="5"/>
        <v>0.9828000000000001</v>
      </c>
    </row>
    <row r="84" spans="1:9" s="1062" customFormat="1" ht="18.75">
      <c r="A84" s="1060" t="s">
        <v>524</v>
      </c>
      <c r="B84" s="1061" t="s">
        <v>525</v>
      </c>
      <c r="C84" s="1026">
        <f>'[5]BM2 aR'!I84</f>
        <v>0.685</v>
      </c>
      <c r="D84" s="1029">
        <v>0.07</v>
      </c>
      <c r="E84" s="1029">
        <v>0.075</v>
      </c>
      <c r="F84" s="1029">
        <v>0.078</v>
      </c>
      <c r="G84" s="1029">
        <v>0.08</v>
      </c>
      <c r="H84" s="1029">
        <v>0.07</v>
      </c>
      <c r="I84" s="1026">
        <f t="shared" si="5"/>
        <v>0.07460000000000001</v>
      </c>
    </row>
    <row r="85" spans="1:9" s="1062" customFormat="1" ht="18.75">
      <c r="A85" s="1063" t="s">
        <v>526</v>
      </c>
      <c r="B85" s="1061" t="s">
        <v>527</v>
      </c>
      <c r="C85" s="1026">
        <f>'[5]BM2 aR'!I85</f>
        <v>0.16</v>
      </c>
      <c r="D85" s="1029">
        <v>0.163</v>
      </c>
      <c r="E85" s="1029">
        <v>0.165</v>
      </c>
      <c r="F85" s="1029">
        <v>0.165</v>
      </c>
      <c r="G85" s="1029">
        <f>F85</f>
        <v>0.165</v>
      </c>
      <c r="H85" s="1029">
        <f>G85</f>
        <v>0.165</v>
      </c>
      <c r="I85" s="1026">
        <f t="shared" si="5"/>
        <v>0.16460000000000002</v>
      </c>
    </row>
    <row r="86" spans="1:9" s="644" customFormat="1" ht="18.75">
      <c r="A86" s="1040" t="s">
        <v>528</v>
      </c>
      <c r="B86" s="1025"/>
      <c r="C86" s="1026"/>
      <c r="D86" s="606"/>
      <c r="E86" s="606"/>
      <c r="F86" s="606"/>
      <c r="G86" s="606"/>
      <c r="H86" s="606"/>
      <c r="I86" s="606"/>
    </row>
    <row r="87" spans="1:9" s="644" customFormat="1" ht="39.75" customHeight="1">
      <c r="A87" s="1027" t="s">
        <v>878</v>
      </c>
      <c r="B87" s="1025" t="s">
        <v>493</v>
      </c>
      <c r="C87" s="1026">
        <f>'[5]BM2 aR'!I87</f>
        <v>22.38</v>
      </c>
      <c r="D87" s="1028">
        <v>23.913</v>
      </c>
      <c r="E87" s="1028">
        <v>24.403</v>
      </c>
      <c r="F87" s="1028">
        <v>24.923</v>
      </c>
      <c r="G87" s="1028">
        <v>25.428</v>
      </c>
      <c r="H87" s="1028">
        <v>25.913</v>
      </c>
      <c r="I87" s="1028">
        <f>H87</f>
        <v>25.913</v>
      </c>
    </row>
    <row r="88" spans="1:9" s="644" customFormat="1" ht="27.75" customHeight="1">
      <c r="A88" s="1024" t="s">
        <v>802</v>
      </c>
      <c r="B88" s="1025" t="s">
        <v>493</v>
      </c>
      <c r="C88" s="1026">
        <f>'[5]BM2 aR'!I88</f>
        <v>1.02</v>
      </c>
      <c r="D88" s="1029">
        <f>D89+D91+D92</f>
        <v>0.424</v>
      </c>
      <c r="E88" s="1029">
        <f>E89+E91+E92</f>
        <v>0.43000000000000005</v>
      </c>
      <c r="F88" s="1029">
        <f>F89+F91+F92</f>
        <v>0.51</v>
      </c>
      <c r="G88" s="1029">
        <f>G89+G91+G92</f>
        <v>0.5529999999999999</v>
      </c>
      <c r="H88" s="1029">
        <f>H89+H91+H92</f>
        <v>0.583</v>
      </c>
      <c r="I88" s="606">
        <f>SUM(D88:H88)</f>
        <v>2.5</v>
      </c>
    </row>
    <row r="89" spans="1:9" s="644" customFormat="1" ht="27.75" customHeight="1">
      <c r="A89" s="1024" t="s">
        <v>224</v>
      </c>
      <c r="B89" s="1025" t="s">
        <v>493</v>
      </c>
      <c r="C89" s="1026">
        <f>'[5]BM2 aR'!I89</f>
        <v>0.69</v>
      </c>
      <c r="D89" s="606">
        <v>0.25</v>
      </c>
      <c r="E89" s="606">
        <v>0.2</v>
      </c>
      <c r="F89" s="606">
        <v>0.25</v>
      </c>
      <c r="G89" s="606">
        <v>0.25</v>
      </c>
      <c r="H89" s="606">
        <v>0.25</v>
      </c>
      <c r="I89" s="1029">
        <f>SUM(D89:H89)</f>
        <v>1.2</v>
      </c>
    </row>
    <row r="90" spans="1:9" s="644" customFormat="1" ht="27.75" customHeight="1" hidden="1">
      <c r="A90" s="1027" t="s">
        <v>879</v>
      </c>
      <c r="B90" s="1025" t="s">
        <v>493</v>
      </c>
      <c r="C90" s="1026">
        <f>'[5]BM2 aR'!I90</f>
        <v>0.58</v>
      </c>
      <c r="D90" s="606"/>
      <c r="E90" s="606"/>
      <c r="F90" s="606"/>
      <c r="G90" s="606"/>
      <c r="H90" s="606"/>
      <c r="I90" s="1029">
        <f>SUM(D90:H90)</f>
        <v>0</v>
      </c>
    </row>
    <row r="91" spans="1:9" s="644" customFormat="1" ht="27.75" customHeight="1">
      <c r="A91" s="1024" t="s">
        <v>804</v>
      </c>
      <c r="B91" s="1025" t="s">
        <v>493</v>
      </c>
      <c r="C91" s="1026">
        <f>'[5]BM2 aR'!I91</f>
        <v>0</v>
      </c>
      <c r="D91" s="1029">
        <v>0.072</v>
      </c>
      <c r="E91" s="1029">
        <v>0.078</v>
      </c>
      <c r="F91" s="1029">
        <v>0.094</v>
      </c>
      <c r="G91" s="1029">
        <v>0.123</v>
      </c>
      <c r="H91" s="1029">
        <v>0.133</v>
      </c>
      <c r="I91" s="1029">
        <f>SUM(D91:H91)</f>
        <v>0.5</v>
      </c>
    </row>
    <row r="92" spans="1:9" s="644" customFormat="1" ht="27.75" customHeight="1">
      <c r="A92" s="1024" t="s">
        <v>803</v>
      </c>
      <c r="B92" s="1025" t="s">
        <v>493</v>
      </c>
      <c r="C92" s="1026">
        <f>'[5]BM2 aR'!I92</f>
        <v>0.33</v>
      </c>
      <c r="D92" s="1028">
        <v>0.102</v>
      </c>
      <c r="E92" s="1028">
        <v>0.152</v>
      </c>
      <c r="F92" s="1028">
        <v>0.166</v>
      </c>
      <c r="G92" s="1028">
        <v>0.18</v>
      </c>
      <c r="H92" s="1028">
        <v>0.2</v>
      </c>
      <c r="I92" s="1029">
        <f>SUM(D92:H92)</f>
        <v>0.8</v>
      </c>
    </row>
    <row r="93" spans="1:9" s="644" customFormat="1" ht="27.75" customHeight="1">
      <c r="A93" s="1027" t="s">
        <v>529</v>
      </c>
      <c r="B93" s="1025" t="s">
        <v>530</v>
      </c>
      <c r="C93" s="1026">
        <f>'[5]BM2 aR'!I93</f>
        <v>13.643</v>
      </c>
      <c r="D93" s="1028">
        <v>6.037</v>
      </c>
      <c r="E93" s="1028">
        <v>7.244</v>
      </c>
      <c r="F93" s="1028">
        <v>6.641</v>
      </c>
      <c r="G93" s="1028">
        <v>7.848</v>
      </c>
      <c r="H93" s="1028">
        <v>9.056</v>
      </c>
      <c r="I93" s="1028">
        <f>SUM(D93:H93)/5</f>
        <v>7.365199999999999</v>
      </c>
    </row>
    <row r="94" spans="1:9" s="644" customFormat="1" ht="27.75" customHeight="1">
      <c r="A94" s="1024" t="s">
        <v>805</v>
      </c>
      <c r="B94" s="1025" t="s">
        <v>213</v>
      </c>
      <c r="C94" s="1026">
        <f>'[5]BM2 aR'!I94</f>
        <v>27.5</v>
      </c>
      <c r="D94" s="606">
        <v>27.7</v>
      </c>
      <c r="E94" s="606">
        <v>28.7</v>
      </c>
      <c r="F94" s="606">
        <v>29.4</v>
      </c>
      <c r="G94" s="606">
        <v>30</v>
      </c>
      <c r="H94" s="606">
        <v>30.6</v>
      </c>
      <c r="I94" s="606">
        <f>H94</f>
        <v>30.6</v>
      </c>
    </row>
    <row r="95" spans="1:9" s="644" customFormat="1" ht="27.75" customHeight="1">
      <c r="A95" s="1024" t="s">
        <v>806</v>
      </c>
      <c r="B95" s="1025" t="s">
        <v>213</v>
      </c>
      <c r="C95" s="1026">
        <f>'[5]BM2 aR'!I95</f>
        <v>32.5</v>
      </c>
      <c r="D95" s="606">
        <v>32.7</v>
      </c>
      <c r="E95" s="606">
        <v>34</v>
      </c>
      <c r="F95" s="606">
        <v>34.9</v>
      </c>
      <c r="G95" s="606">
        <v>35.7</v>
      </c>
      <c r="H95" s="606">
        <v>36.6</v>
      </c>
      <c r="I95" s="606">
        <f>H95</f>
        <v>36.6</v>
      </c>
    </row>
    <row r="96" spans="2:3" s="638" customFormat="1" ht="18">
      <c r="B96" s="637"/>
      <c r="C96" s="637"/>
    </row>
  </sheetData>
  <sheetProtection/>
  <mergeCells count="2">
    <mergeCell ref="G1:I1"/>
    <mergeCell ref="A2:I2"/>
  </mergeCells>
  <printOptions horizontalCentered="1"/>
  <pageMargins left="0" right="0" top="0.5905511811023623" bottom="0.5905511811023623" header="0.5118110236220472" footer="0.2755905511811024"/>
  <pageSetup fitToHeight="0" horizontalDpi="600" verticalDpi="600" orientation="landscape" paperSize="9" scale="85" r:id="rId1"/>
  <headerFooter alignWithMargins="0">
    <oddFooter>&amp;R&amp;"Times New Roman,Regular"&amp;12&amp;P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FF00"/>
  </sheetPr>
  <dimension ref="A1:X182"/>
  <sheetViews>
    <sheetView tabSelected="1" zoomScale="77" zoomScaleNormal="77" workbookViewId="0" topLeftCell="A8">
      <selection activeCell="F122" sqref="F122"/>
    </sheetView>
  </sheetViews>
  <sheetFormatPr defaultColWidth="7.8515625" defaultRowHeight="12.75"/>
  <cols>
    <col min="1" max="1" width="5.421875" style="1667" customWidth="1"/>
    <col min="2" max="2" width="49.00390625" style="572" customWidth="1"/>
    <col min="3" max="3" width="11.57421875" style="1667" customWidth="1"/>
    <col min="4" max="4" width="12.28125" style="1668" customWidth="1"/>
    <col min="5" max="5" width="11.421875" style="1668" customWidth="1"/>
    <col min="6" max="6" width="12.7109375" style="1668" customWidth="1"/>
    <col min="7" max="7" width="11.140625" style="1668" customWidth="1"/>
    <col min="8" max="8" width="12.00390625" style="1668" customWidth="1"/>
    <col min="9" max="9" width="13.421875" style="1667" customWidth="1"/>
    <col min="10" max="10" width="15.57421875" style="583" hidden="1" customWidth="1"/>
    <col min="11" max="11" width="11.421875" style="572" hidden="1" customWidth="1"/>
    <col min="12" max="21" width="7.8515625" style="572" hidden="1" customWidth="1"/>
    <col min="22" max="22" width="7.00390625" style="572" customWidth="1"/>
    <col min="23" max="23" width="6.8515625" style="572" customWidth="1"/>
    <col min="24" max="24" width="31.00390625" style="572" customWidth="1"/>
    <col min="25" max="16384" width="7.8515625" style="572" customWidth="1"/>
  </cols>
  <sheetData>
    <row r="1" spans="2:10" s="1660" customFormat="1" ht="22.5" customHeight="1" hidden="1">
      <c r="B1" s="1661"/>
      <c r="C1" s="1662"/>
      <c r="D1" s="1663"/>
      <c r="E1" s="1663"/>
      <c r="F1" s="1663"/>
      <c r="G1" s="1663"/>
      <c r="H1" s="1663"/>
      <c r="I1" s="1662"/>
      <c r="J1" s="1266"/>
    </row>
    <row r="2" spans="2:10" s="1660" customFormat="1" ht="12.75" customHeight="1" hidden="1">
      <c r="B2" s="1888" t="s">
        <v>476</v>
      </c>
      <c r="C2" s="1888"/>
      <c r="D2" s="1664"/>
      <c r="E2" s="1664"/>
      <c r="F2" s="1664"/>
      <c r="G2" s="1664"/>
      <c r="H2" s="1664"/>
      <c r="J2" s="1266"/>
    </row>
    <row r="3" spans="1:10" s="1660" customFormat="1" ht="22.5" customHeight="1" hidden="1">
      <c r="A3" s="1879" t="s">
        <v>759</v>
      </c>
      <c r="B3" s="1879"/>
      <c r="C3" s="1879"/>
      <c r="D3" s="1665"/>
      <c r="E3" s="1665"/>
      <c r="F3" s="1665"/>
      <c r="G3" s="1665"/>
      <c r="H3" s="1665"/>
      <c r="I3" s="1666"/>
      <c r="J3" s="1266"/>
    </row>
    <row r="4" spans="1:10" s="1660" customFormat="1" ht="22.5" customHeight="1" hidden="1">
      <c r="A4" s="1879" t="s">
        <v>1044</v>
      </c>
      <c r="B4" s="1879"/>
      <c r="C4" s="1879"/>
      <c r="D4" s="1879"/>
      <c r="E4" s="1879"/>
      <c r="F4" s="1879"/>
      <c r="G4" s="1879"/>
      <c r="H4" s="1879"/>
      <c r="I4" s="1879"/>
      <c r="J4" s="1266"/>
    </row>
    <row r="5" spans="1:9" ht="15" customHeight="1" hidden="1">
      <c r="A5" s="1887" t="s">
        <v>1064</v>
      </c>
      <c r="B5" s="1887"/>
      <c r="C5" s="1887"/>
      <c r="D5" s="1887"/>
      <c r="E5" s="1887"/>
      <c r="F5" s="1887"/>
      <c r="G5" s="1887"/>
      <c r="H5" s="1887"/>
      <c r="I5" s="1887"/>
    </row>
    <row r="6" spans="1:9" ht="16.5" hidden="1">
      <c r="A6" s="1880" t="s">
        <v>1041</v>
      </c>
      <c r="B6" s="1880"/>
      <c r="C6" s="1880"/>
      <c r="D6" s="1880"/>
      <c r="E6" s="1880"/>
      <c r="F6" s="1880"/>
      <c r="G6" s="1880"/>
      <c r="H6" s="1880"/>
      <c r="I6" s="1880"/>
    </row>
    <row r="7" spans="1:9" ht="18.75" customHeight="1" hidden="1">
      <c r="A7" s="1887" t="s">
        <v>1044</v>
      </c>
      <c r="B7" s="1887"/>
      <c r="C7" s="1887"/>
      <c r="D7" s="1887"/>
      <c r="E7" s="1887"/>
      <c r="F7" s="1887"/>
      <c r="G7" s="1887"/>
      <c r="H7" s="1887"/>
      <c r="I7" s="1887"/>
    </row>
    <row r="8" spans="1:9" ht="27.75" customHeight="1">
      <c r="A8" s="1876" t="s">
        <v>1136</v>
      </c>
      <c r="B8" s="1876"/>
      <c r="C8" s="1876"/>
      <c r="D8" s="1876"/>
      <c r="E8" s="1876"/>
      <c r="F8" s="1876"/>
      <c r="G8" s="1876"/>
      <c r="H8" s="1876"/>
      <c r="I8" s="1876"/>
    </row>
    <row r="9" spans="1:9" ht="36.75" customHeight="1" hidden="1">
      <c r="A9" s="1876" t="s">
        <v>1098</v>
      </c>
      <c r="B9" s="1876"/>
      <c r="C9" s="1876"/>
      <c r="D9" s="1876"/>
      <c r="E9" s="1876"/>
      <c r="F9" s="1876"/>
      <c r="G9" s="1876"/>
      <c r="H9" s="1876"/>
      <c r="I9" s="1876"/>
    </row>
    <row r="10" spans="1:9" ht="16.5" hidden="1">
      <c r="A10" s="1880" t="s">
        <v>1100</v>
      </c>
      <c r="B10" s="1880"/>
      <c r="C10" s="1880"/>
      <c r="D10" s="1880"/>
      <c r="E10" s="1880"/>
      <c r="F10" s="1880"/>
      <c r="G10" s="1880"/>
      <c r="H10" s="1880"/>
      <c r="I10" s="1880"/>
    </row>
    <row r="11" spans="1:9" ht="16.5" hidden="1">
      <c r="A11" s="1880" t="s">
        <v>1097</v>
      </c>
      <c r="B11" s="1880"/>
      <c r="C11" s="1880"/>
      <c r="D11" s="1880"/>
      <c r="E11" s="1880"/>
      <c r="F11" s="1880"/>
      <c r="G11" s="1880"/>
      <c r="H11" s="1880"/>
      <c r="I11" s="1880"/>
    </row>
    <row r="12" spans="1:9" ht="16.5" hidden="1">
      <c r="A12" s="1880" t="s">
        <v>1088</v>
      </c>
      <c r="B12" s="1880"/>
      <c r="C12" s="1880"/>
      <c r="D12" s="1880"/>
      <c r="E12" s="1880"/>
      <c r="F12" s="1880"/>
      <c r="G12" s="1880"/>
      <c r="H12" s="1880"/>
      <c r="I12" s="1880"/>
    </row>
    <row r="13" spans="1:9" ht="16.5" hidden="1">
      <c r="A13" s="1880" t="s">
        <v>1089</v>
      </c>
      <c r="B13" s="1880"/>
      <c r="C13" s="1880"/>
      <c r="D13" s="1880"/>
      <c r="E13" s="1880"/>
      <c r="F13" s="1880"/>
      <c r="G13" s="1880"/>
      <c r="H13" s="1880"/>
      <c r="I13" s="1880"/>
    </row>
    <row r="14" spans="1:9" ht="7.5" customHeight="1">
      <c r="A14" s="1880"/>
      <c r="B14" s="1880"/>
      <c r="C14" s="1880"/>
      <c r="D14" s="1880"/>
      <c r="E14" s="1880"/>
      <c r="F14" s="1880"/>
      <c r="G14" s="1880"/>
      <c r="H14" s="1880"/>
      <c r="I14" s="1880"/>
    </row>
    <row r="15" ht="25.5" customHeight="1" hidden="1"/>
    <row r="16" spans="1:9" s="583" customFormat="1" ht="20.25" customHeight="1">
      <c r="A16" s="1877" t="s">
        <v>0</v>
      </c>
      <c r="B16" s="1877" t="s">
        <v>211</v>
      </c>
      <c r="C16" s="1877" t="s">
        <v>104</v>
      </c>
      <c r="D16" s="1881" t="s">
        <v>1130</v>
      </c>
      <c r="E16" s="1883" t="s">
        <v>1110</v>
      </c>
      <c r="F16" s="1884"/>
      <c r="G16" s="1885"/>
      <c r="H16" s="1881" t="s">
        <v>1133</v>
      </c>
      <c r="I16" s="1881" t="s">
        <v>1086</v>
      </c>
    </row>
    <row r="17" spans="1:9" s="583" customFormat="1" ht="54.75" customHeight="1">
      <c r="A17" s="1886" t="s">
        <v>0</v>
      </c>
      <c r="B17" s="1886"/>
      <c r="C17" s="1878"/>
      <c r="D17" s="1882"/>
      <c r="E17" s="949" t="s">
        <v>1005</v>
      </c>
      <c r="F17" s="949" t="s">
        <v>1035</v>
      </c>
      <c r="G17" s="949" t="s">
        <v>1095</v>
      </c>
      <c r="H17" s="1882"/>
      <c r="I17" s="1882"/>
    </row>
    <row r="18" spans="1:9" s="583" customFormat="1" ht="16.5">
      <c r="A18" s="580" t="s">
        <v>29</v>
      </c>
      <c r="B18" s="581" t="s">
        <v>384</v>
      </c>
      <c r="C18" s="1172"/>
      <c r="D18" s="1296"/>
      <c r="E18" s="1296"/>
      <c r="F18" s="1296"/>
      <c r="G18" s="1296"/>
      <c r="H18" s="1296"/>
      <c r="I18" s="1172"/>
    </row>
    <row r="19" spans="1:9" s="1266" customFormat="1" ht="26.25" customHeight="1">
      <c r="A19" s="926">
        <v>1</v>
      </c>
      <c r="B19" s="1262" t="s">
        <v>385</v>
      </c>
      <c r="C19" s="1263" t="s">
        <v>293</v>
      </c>
      <c r="D19" s="1669">
        <f>D21+D22+D24</f>
        <v>11563</v>
      </c>
      <c r="E19" s="1670">
        <f>E21+E22+E24</f>
        <v>11981.3</v>
      </c>
      <c r="F19" s="1669">
        <f>F21+F22+F24</f>
        <v>12623.3</v>
      </c>
      <c r="G19" s="1670">
        <f>F19/E19*100</f>
        <v>105.3583500955656</v>
      </c>
      <c r="H19" s="1670">
        <f>SUM(H21+H22+H24)</f>
        <v>13530.300000000001</v>
      </c>
      <c r="I19" s="1671"/>
    </row>
    <row r="20" spans="1:9" ht="16.5">
      <c r="A20" s="569"/>
      <c r="B20" s="570" t="s">
        <v>141</v>
      </c>
      <c r="C20" s="1161"/>
      <c r="D20" s="1253"/>
      <c r="E20" s="1253"/>
      <c r="F20" s="1253"/>
      <c r="G20" s="1670"/>
      <c r="H20" s="1253"/>
      <c r="I20" s="1161"/>
    </row>
    <row r="21" spans="1:10" s="1660" customFormat="1" ht="16.5">
      <c r="A21" s="951"/>
      <c r="B21" s="1672" t="s">
        <v>386</v>
      </c>
      <c r="C21" s="1179" t="s">
        <v>293</v>
      </c>
      <c r="D21" s="1673">
        <v>5681</v>
      </c>
      <c r="E21" s="1492">
        <v>5849</v>
      </c>
      <c r="F21" s="1673">
        <v>6461</v>
      </c>
      <c r="G21" s="1674">
        <f aca="true" t="shared" si="0" ref="G21:G83">F21/E21*100</f>
        <v>110.46332706445546</v>
      </c>
      <c r="H21" s="1673">
        <v>6567.2</v>
      </c>
      <c r="I21" s="1675"/>
      <c r="J21" s="1266"/>
    </row>
    <row r="22" spans="1:10" s="1660" customFormat="1" ht="16.5">
      <c r="A22" s="951"/>
      <c r="B22" s="1672" t="s">
        <v>387</v>
      </c>
      <c r="C22" s="1179" t="s">
        <v>293</v>
      </c>
      <c r="D22" s="1492">
        <f>D23+1232</f>
        <v>2727.2</v>
      </c>
      <c r="E22" s="1492">
        <v>2921</v>
      </c>
      <c r="F22" s="1492">
        <v>2951</v>
      </c>
      <c r="G22" s="1674">
        <f t="shared" si="0"/>
        <v>101.02704553235193</v>
      </c>
      <c r="H22" s="1492">
        <f>1853+1507</f>
        <v>3360</v>
      </c>
      <c r="I22" s="1675"/>
      <c r="J22" s="1266"/>
    </row>
    <row r="23" spans="1:10" s="1660" customFormat="1" ht="18.75">
      <c r="A23" s="951"/>
      <c r="B23" s="1672" t="s">
        <v>388</v>
      </c>
      <c r="C23" s="1179" t="s">
        <v>293</v>
      </c>
      <c r="D23" s="1676">
        <v>1495.2</v>
      </c>
      <c r="E23" s="1492">
        <v>1625</v>
      </c>
      <c r="F23" s="1677">
        <v>1642.7</v>
      </c>
      <c r="G23" s="1674">
        <f t="shared" si="0"/>
        <v>101.08923076923078</v>
      </c>
      <c r="H23" s="1492">
        <v>1853</v>
      </c>
      <c r="I23" s="1675"/>
      <c r="J23" s="1266"/>
    </row>
    <row r="24" spans="1:10" s="1660" customFormat="1" ht="16.5">
      <c r="A24" s="951"/>
      <c r="B24" s="1672" t="s">
        <v>389</v>
      </c>
      <c r="C24" s="1179" t="s">
        <v>293</v>
      </c>
      <c r="D24" s="1492">
        <v>3154.8</v>
      </c>
      <c r="E24" s="1673">
        <v>3211.3</v>
      </c>
      <c r="F24" s="1492">
        <f>E24</f>
        <v>3211.3</v>
      </c>
      <c r="G24" s="1674">
        <f t="shared" si="0"/>
        <v>100</v>
      </c>
      <c r="H24" s="1673">
        <v>3603.1</v>
      </c>
      <c r="I24" s="1675"/>
      <c r="J24" s="1266"/>
    </row>
    <row r="25" spans="1:9" s="1683" customFormat="1" ht="17.25">
      <c r="A25" s="1678"/>
      <c r="B25" s="1679" t="s">
        <v>1065</v>
      </c>
      <c r="C25" s="1680"/>
      <c r="D25" s="1681"/>
      <c r="E25" s="1681"/>
      <c r="F25" s="1681"/>
      <c r="G25" s="1674"/>
      <c r="H25" s="1681"/>
      <c r="I25" s="1682"/>
    </row>
    <row r="26" spans="1:10" s="1660" customFormat="1" ht="16.5">
      <c r="A26" s="951"/>
      <c r="B26" s="1672" t="s">
        <v>386</v>
      </c>
      <c r="C26" s="1179" t="s">
        <v>6</v>
      </c>
      <c r="D26" s="1684">
        <f>D21/D19*100</f>
        <v>49.13084839574505</v>
      </c>
      <c r="E26" s="1684">
        <f>E21/E19*100</f>
        <v>48.817740979693355</v>
      </c>
      <c r="F26" s="1684">
        <f>F21/F19*100</f>
        <v>51.18312960953158</v>
      </c>
      <c r="G26" s="1674">
        <f t="shared" si="0"/>
        <v>104.84534634821007</v>
      </c>
      <c r="H26" s="1684">
        <f>H21/H19*100</f>
        <v>48.53698735430847</v>
      </c>
      <c r="I26" s="1675"/>
      <c r="J26" s="1266"/>
    </row>
    <row r="27" spans="1:10" s="1660" customFormat="1" ht="16.5">
      <c r="A27" s="951"/>
      <c r="B27" s="1672" t="s">
        <v>387</v>
      </c>
      <c r="C27" s="1179" t="s">
        <v>6</v>
      </c>
      <c r="D27" s="1684">
        <f>D22/D19*100</f>
        <v>23.585574677851767</v>
      </c>
      <c r="E27" s="1684">
        <f>E22/E19*100</f>
        <v>24.379658300852164</v>
      </c>
      <c r="F27" s="1684">
        <f>F22/F19*100</f>
        <v>23.37740527437358</v>
      </c>
      <c r="G27" s="1674">
        <f t="shared" si="0"/>
        <v>95.88897836831637</v>
      </c>
      <c r="H27" s="1684">
        <f>H22/H19*100</f>
        <v>24.833152258264782</v>
      </c>
      <c r="I27" s="1675"/>
      <c r="J27" s="1266"/>
    </row>
    <row r="28" spans="1:10" s="1660" customFormat="1" ht="16.5">
      <c r="A28" s="951"/>
      <c r="B28" s="1672" t="s">
        <v>389</v>
      </c>
      <c r="C28" s="1179" t="s">
        <v>6</v>
      </c>
      <c r="D28" s="1684">
        <f>D24/D19*100</f>
        <v>27.283576926403185</v>
      </c>
      <c r="E28" s="1684">
        <f>E24/E19*100</f>
        <v>26.80260071945449</v>
      </c>
      <c r="F28" s="1684">
        <f>F24/F19*100</f>
        <v>25.439465116094844</v>
      </c>
      <c r="G28" s="1674">
        <f t="shared" si="0"/>
        <v>94.91416666006512</v>
      </c>
      <c r="H28" s="1684">
        <f>H24/H19*100</f>
        <v>26.629860387426735</v>
      </c>
      <c r="I28" s="1675"/>
      <c r="J28" s="1266"/>
    </row>
    <row r="29" spans="1:9" ht="16.5" hidden="1">
      <c r="A29" s="926">
        <v>3</v>
      </c>
      <c r="B29" s="1685" t="s">
        <v>773</v>
      </c>
      <c r="C29" s="1686"/>
      <c r="D29" s="1687"/>
      <c r="E29" s="1673">
        <f aca="true" t="shared" si="1" ref="E29:E39">E24/E22*100</f>
        <v>109.93837726805889</v>
      </c>
      <c r="F29" s="1687"/>
      <c r="G29" s="1670">
        <f t="shared" si="0"/>
        <v>0</v>
      </c>
      <c r="H29" s="1673"/>
      <c r="I29" s="1688"/>
    </row>
    <row r="30" spans="1:9" ht="16.5" hidden="1">
      <c r="A30" s="926"/>
      <c r="B30" s="943" t="s">
        <v>136</v>
      </c>
      <c r="C30" s="1689"/>
      <c r="D30" s="1687"/>
      <c r="E30" s="1673">
        <f t="shared" si="1"/>
        <v>0</v>
      </c>
      <c r="F30" s="1687"/>
      <c r="G30" s="1670" t="e">
        <f t="shared" si="0"/>
        <v>#DIV/0!</v>
      </c>
      <c r="H30" s="1673"/>
      <c r="I30" s="1688"/>
    </row>
    <row r="31" spans="1:9" ht="16.5" hidden="1">
      <c r="A31" s="926"/>
      <c r="B31" s="944" t="s">
        <v>761</v>
      </c>
      <c r="C31" s="1689" t="s">
        <v>213</v>
      </c>
      <c r="D31" s="1687"/>
      <c r="E31" s="1673">
        <f t="shared" si="1"/>
        <v>1.5201862479274235</v>
      </c>
      <c r="F31" s="1687"/>
      <c r="G31" s="1670">
        <f t="shared" si="0"/>
        <v>0</v>
      </c>
      <c r="H31" s="1673"/>
      <c r="I31" s="1688"/>
    </row>
    <row r="32" spans="1:9" ht="16.5" hidden="1">
      <c r="A32" s="926"/>
      <c r="B32" s="944" t="s">
        <v>762</v>
      </c>
      <c r="C32" s="1689" t="s">
        <v>213</v>
      </c>
      <c r="D32" s="1687"/>
      <c r="E32" s="1673" t="e">
        <f t="shared" si="1"/>
        <v>#DIV/0!</v>
      </c>
      <c r="F32" s="1687"/>
      <c r="G32" s="1670" t="e">
        <f t="shared" si="0"/>
        <v>#DIV/0!</v>
      </c>
      <c r="H32" s="1673"/>
      <c r="I32" s="1688"/>
    </row>
    <row r="33" spans="1:9" ht="16.5" hidden="1">
      <c r="A33" s="926"/>
      <c r="B33" s="944" t="s">
        <v>763</v>
      </c>
      <c r="C33" s="1689" t="s">
        <v>213</v>
      </c>
      <c r="D33" s="1687"/>
      <c r="E33" s="1673">
        <f t="shared" si="1"/>
        <v>54.90340229098992</v>
      </c>
      <c r="F33" s="1687"/>
      <c r="G33" s="1670">
        <f t="shared" si="0"/>
        <v>0</v>
      </c>
      <c r="H33" s="1673"/>
      <c r="I33" s="1688"/>
    </row>
    <row r="34" spans="1:9" ht="16.5" hidden="1">
      <c r="A34" s="926">
        <v>4</v>
      </c>
      <c r="B34" s="1685" t="s">
        <v>764</v>
      </c>
      <c r="C34" s="1689"/>
      <c r="D34" s="1687"/>
      <c r="E34" s="1673">
        <f t="shared" si="1"/>
        <v>450.94306044566713</v>
      </c>
      <c r="F34" s="1687"/>
      <c r="G34" s="1670">
        <f t="shared" si="0"/>
        <v>0</v>
      </c>
      <c r="H34" s="1673"/>
      <c r="I34" s="1688"/>
    </row>
    <row r="35" spans="1:9" ht="16.5" hidden="1">
      <c r="A35" s="951"/>
      <c r="B35" s="944" t="s">
        <v>765</v>
      </c>
      <c r="C35" s="1689" t="s">
        <v>766</v>
      </c>
      <c r="D35" s="1687"/>
      <c r="E35" s="1673">
        <f t="shared" si="1"/>
        <v>0</v>
      </c>
      <c r="F35" s="1687"/>
      <c r="G35" s="1670" t="e">
        <f t="shared" si="0"/>
        <v>#DIV/0!</v>
      </c>
      <c r="H35" s="1673"/>
      <c r="I35" s="1688"/>
    </row>
    <row r="36" spans="1:9" ht="16.5" hidden="1">
      <c r="A36" s="951"/>
      <c r="B36" s="944" t="s">
        <v>767</v>
      </c>
      <c r="C36" s="1689" t="s">
        <v>768</v>
      </c>
      <c r="D36" s="1687"/>
      <c r="E36" s="1673">
        <f t="shared" si="1"/>
        <v>1.3827621306623497</v>
      </c>
      <c r="F36" s="1687"/>
      <c r="G36" s="1670">
        <f t="shared" si="0"/>
        <v>0</v>
      </c>
      <c r="H36" s="1673"/>
      <c r="I36" s="1688"/>
    </row>
    <row r="37" spans="1:9" ht="16.5" hidden="1">
      <c r="A37" s="951"/>
      <c r="B37" s="944" t="s">
        <v>769</v>
      </c>
      <c r="C37" s="1689" t="s">
        <v>770</v>
      </c>
      <c r="D37" s="1687"/>
      <c r="E37" s="1673" t="e">
        <f t="shared" si="1"/>
        <v>#DIV/0!</v>
      </c>
      <c r="F37" s="1687"/>
      <c r="G37" s="1670" t="e">
        <f t="shared" si="0"/>
        <v>#DIV/0!</v>
      </c>
      <c r="H37" s="1673"/>
      <c r="I37" s="1688"/>
    </row>
    <row r="38" spans="1:9" ht="16.5" hidden="1">
      <c r="A38" s="569">
        <v>5</v>
      </c>
      <c r="B38" s="1685" t="s">
        <v>771</v>
      </c>
      <c r="C38" s="1689" t="s">
        <v>213</v>
      </c>
      <c r="D38" s="1687"/>
      <c r="E38" s="1673">
        <f t="shared" si="1"/>
        <v>3611.623402451087</v>
      </c>
      <c r="F38" s="1687"/>
      <c r="G38" s="1670">
        <f t="shared" si="0"/>
        <v>0</v>
      </c>
      <c r="H38" s="1673"/>
      <c r="I38" s="1688"/>
    </row>
    <row r="39" spans="1:9" ht="33" hidden="1">
      <c r="A39" s="569">
        <v>6</v>
      </c>
      <c r="B39" s="1685" t="s">
        <v>772</v>
      </c>
      <c r="C39" s="1689" t="s">
        <v>213</v>
      </c>
      <c r="D39" s="1687"/>
      <c r="E39" s="1673" t="e">
        <f t="shared" si="1"/>
        <v>#DIV/0!</v>
      </c>
      <c r="F39" s="1687"/>
      <c r="G39" s="1670" t="e">
        <f t="shared" si="0"/>
        <v>#DIV/0!</v>
      </c>
      <c r="H39" s="1673"/>
      <c r="I39" s="1688"/>
    </row>
    <row r="40" spans="1:9" s="1266" customFormat="1" ht="49.5">
      <c r="A40" s="926">
        <v>2</v>
      </c>
      <c r="B40" s="957" t="s">
        <v>1066</v>
      </c>
      <c r="C40" s="1263" t="s">
        <v>293</v>
      </c>
      <c r="D40" s="1690">
        <v>2994.8</v>
      </c>
      <c r="E40" s="1691">
        <v>3051.3</v>
      </c>
      <c r="F40" s="1690">
        <v>3150.1</v>
      </c>
      <c r="G40" s="1670">
        <f t="shared" si="0"/>
        <v>103.23796414642939</v>
      </c>
      <c r="H40" s="1691">
        <v>3325.9</v>
      </c>
      <c r="I40" s="1675"/>
    </row>
    <row r="41" spans="1:10" s="1660" customFormat="1" ht="16.5">
      <c r="A41" s="580">
        <v>3</v>
      </c>
      <c r="B41" s="581" t="s">
        <v>973</v>
      </c>
      <c r="C41" s="1172"/>
      <c r="D41" s="1692"/>
      <c r="E41" s="1692"/>
      <c r="F41" s="1692"/>
      <c r="G41" s="1670"/>
      <c r="H41" s="1692"/>
      <c r="I41" s="1693"/>
      <c r="J41" s="1266"/>
    </row>
    <row r="42" spans="1:10" s="1660" customFormat="1" ht="16.5">
      <c r="A42" s="951"/>
      <c r="B42" s="1694" t="s">
        <v>974</v>
      </c>
      <c r="C42" s="1179" t="s">
        <v>413</v>
      </c>
      <c r="D42" s="1695">
        <v>62501</v>
      </c>
      <c r="E42" s="1695">
        <v>62026</v>
      </c>
      <c r="F42" s="1695">
        <v>62619</v>
      </c>
      <c r="G42" s="1674">
        <f t="shared" si="0"/>
        <v>100.956050688421</v>
      </c>
      <c r="H42" s="1695">
        <v>62298</v>
      </c>
      <c r="I42" s="1675"/>
      <c r="J42" s="1266"/>
    </row>
    <row r="43" spans="1:10" s="1660" customFormat="1" ht="16.5">
      <c r="A43" s="951"/>
      <c r="B43" s="1694" t="s">
        <v>977</v>
      </c>
      <c r="C43" s="1179" t="s">
        <v>298</v>
      </c>
      <c r="D43" s="1695">
        <v>87</v>
      </c>
      <c r="E43" s="1695">
        <v>90</v>
      </c>
      <c r="F43" s="1695">
        <v>100</v>
      </c>
      <c r="G43" s="1674">
        <f t="shared" si="0"/>
        <v>111.11111111111111</v>
      </c>
      <c r="H43" s="1695">
        <v>100</v>
      </c>
      <c r="I43" s="1675"/>
      <c r="J43" s="1266"/>
    </row>
    <row r="44" spans="1:10" s="1660" customFormat="1" ht="16.5" hidden="1">
      <c r="A44" s="951"/>
      <c r="B44" s="1694" t="s">
        <v>978</v>
      </c>
      <c r="C44" s="1179" t="s">
        <v>394</v>
      </c>
      <c r="D44" s="1695"/>
      <c r="E44" s="1695"/>
      <c r="F44" s="1695"/>
      <c r="G44" s="1674" t="e">
        <f t="shared" si="0"/>
        <v>#DIV/0!</v>
      </c>
      <c r="H44" s="1696"/>
      <c r="I44" s="1697"/>
      <c r="J44" s="1266"/>
    </row>
    <row r="45" spans="1:10" s="1660" customFormat="1" ht="16.5" hidden="1">
      <c r="A45" s="951"/>
      <c r="B45" s="1694" t="s">
        <v>979</v>
      </c>
      <c r="C45" s="1179" t="s">
        <v>980</v>
      </c>
      <c r="D45" s="1695"/>
      <c r="E45" s="1695"/>
      <c r="F45" s="1695"/>
      <c r="G45" s="1674" t="e">
        <f t="shared" si="0"/>
        <v>#DIV/0!</v>
      </c>
      <c r="H45" s="1696"/>
      <c r="I45" s="1698"/>
      <c r="J45" s="1266"/>
    </row>
    <row r="46" spans="1:10" s="1660" customFormat="1" ht="16.5">
      <c r="A46" s="951"/>
      <c r="B46" s="1694" t="s">
        <v>774</v>
      </c>
      <c r="C46" s="1179" t="s">
        <v>1111</v>
      </c>
      <c r="D46" s="1695">
        <v>20440</v>
      </c>
      <c r="E46" s="1695">
        <v>20507</v>
      </c>
      <c r="F46" s="1695">
        <v>20051</v>
      </c>
      <c r="G46" s="1674">
        <f t="shared" si="0"/>
        <v>97.77636904471643</v>
      </c>
      <c r="H46" s="1695">
        <v>20789</v>
      </c>
      <c r="I46" s="1675"/>
      <c r="J46" s="1266"/>
    </row>
    <row r="47" spans="1:9" s="1266" customFormat="1" ht="16.5">
      <c r="A47" s="951"/>
      <c r="B47" s="1694" t="s">
        <v>981</v>
      </c>
      <c r="C47" s="1179" t="s">
        <v>6</v>
      </c>
      <c r="D47" s="1695">
        <v>72</v>
      </c>
      <c r="E47" s="1695">
        <v>73</v>
      </c>
      <c r="F47" s="1695">
        <v>73</v>
      </c>
      <c r="G47" s="1674">
        <f t="shared" si="0"/>
        <v>100</v>
      </c>
      <c r="H47" s="1699">
        <v>73</v>
      </c>
      <c r="I47" s="1697"/>
    </row>
    <row r="48" spans="1:10" s="1266" customFormat="1" ht="16.5">
      <c r="A48" s="926">
        <v>4</v>
      </c>
      <c r="B48" s="1262" t="s">
        <v>959</v>
      </c>
      <c r="C48" s="1263" t="s">
        <v>298</v>
      </c>
      <c r="D48" s="1700">
        <v>54.58</v>
      </c>
      <c r="E48" s="1700">
        <v>56.8</v>
      </c>
      <c r="F48" s="1700">
        <v>56.8</v>
      </c>
      <c r="G48" s="1670">
        <f t="shared" si="0"/>
        <v>100</v>
      </c>
      <c r="H48" s="1700">
        <v>58.05</v>
      </c>
      <c r="I48" s="1675"/>
      <c r="J48" s="1266" t="s">
        <v>1106</v>
      </c>
    </row>
    <row r="49" spans="1:9" s="1266" customFormat="1" ht="16.5">
      <c r="A49" s="926">
        <v>5</v>
      </c>
      <c r="B49" s="1262" t="s">
        <v>672</v>
      </c>
      <c r="C49" s="1263" t="s">
        <v>293</v>
      </c>
      <c r="D49" s="1701">
        <v>180.657</v>
      </c>
      <c r="E49" s="1701">
        <v>173.15</v>
      </c>
      <c r="F49" s="1701">
        <v>125.065</v>
      </c>
      <c r="G49" s="1670">
        <f t="shared" si="0"/>
        <v>72.22928097025701</v>
      </c>
      <c r="H49" s="1702">
        <v>161</v>
      </c>
      <c r="I49" s="1703"/>
    </row>
    <row r="50" spans="1:9" s="1266" customFormat="1" ht="16.5">
      <c r="A50" s="926">
        <v>6</v>
      </c>
      <c r="B50" s="1262" t="s">
        <v>396</v>
      </c>
      <c r="C50" s="1263" t="s">
        <v>293</v>
      </c>
      <c r="D50" s="1702">
        <v>670.946</v>
      </c>
      <c r="E50" s="1704">
        <v>578.035</v>
      </c>
      <c r="F50" s="1702">
        <v>689.601</v>
      </c>
      <c r="G50" s="1670">
        <f t="shared" si="0"/>
        <v>119.30090738450095</v>
      </c>
      <c r="H50" s="1702">
        <v>640.144</v>
      </c>
      <c r="I50" s="1697"/>
    </row>
    <row r="51" spans="1:9" s="583" customFormat="1" ht="16.5" hidden="1">
      <c r="A51" s="580" t="s">
        <v>397</v>
      </c>
      <c r="B51" s="581" t="s">
        <v>398</v>
      </c>
      <c r="C51" s="1263" t="s">
        <v>293</v>
      </c>
      <c r="D51" s="1705"/>
      <c r="E51" s="1705"/>
      <c r="F51" s="1705"/>
      <c r="G51" s="1670" t="e">
        <f t="shared" si="0"/>
        <v>#DIV/0!</v>
      </c>
      <c r="H51" s="1705"/>
      <c r="I51" s="1697"/>
    </row>
    <row r="52" spans="1:9" s="1266" customFormat="1" ht="16.5" hidden="1">
      <c r="A52" s="580" t="s">
        <v>401</v>
      </c>
      <c r="B52" s="581" t="s">
        <v>402</v>
      </c>
      <c r="C52" s="1263" t="s">
        <v>293</v>
      </c>
      <c r="D52" s="1706"/>
      <c r="E52" s="1706"/>
      <c r="F52" s="1706"/>
      <c r="G52" s="1670" t="e">
        <f t="shared" si="0"/>
        <v>#DIV/0!</v>
      </c>
      <c r="H52" s="1706"/>
      <c r="I52" s="1697"/>
    </row>
    <row r="53" spans="1:10" s="1660" customFormat="1" ht="33">
      <c r="A53" s="926">
        <v>7</v>
      </c>
      <c r="B53" s="957" t="s">
        <v>1078</v>
      </c>
      <c r="C53" s="1263" t="s">
        <v>293</v>
      </c>
      <c r="D53" s="1707">
        <f>D54+D55</f>
        <v>203.361</v>
      </c>
      <c r="E53" s="1706">
        <f>E54+E55</f>
        <v>128.85399999999998</v>
      </c>
      <c r="F53" s="1707">
        <f>F54+F55</f>
        <v>160.149</v>
      </c>
      <c r="G53" s="1670">
        <f t="shared" si="0"/>
        <v>124.28717773604237</v>
      </c>
      <c r="H53" s="1702">
        <f>H54+H55</f>
        <v>226.943</v>
      </c>
      <c r="I53" s="1697"/>
      <c r="J53" s="1266"/>
    </row>
    <row r="54" spans="1:10" s="1660" customFormat="1" ht="16.5">
      <c r="A54" s="951"/>
      <c r="B54" s="1672" t="s">
        <v>404</v>
      </c>
      <c r="C54" s="1179" t="s">
        <v>293</v>
      </c>
      <c r="D54" s="1708">
        <v>60.826</v>
      </c>
      <c r="E54" s="1709">
        <v>60</v>
      </c>
      <c r="F54" s="1710">
        <f>78.975+20</f>
        <v>98.975</v>
      </c>
      <c r="G54" s="1674">
        <f t="shared" si="0"/>
        <v>164.95833333333331</v>
      </c>
      <c r="H54" s="1708">
        <v>101.019</v>
      </c>
      <c r="I54" s="1697"/>
      <c r="J54" s="1266" t="s">
        <v>1106</v>
      </c>
    </row>
    <row r="55" spans="1:9" s="1266" customFormat="1" ht="74.25" customHeight="1">
      <c r="A55" s="951"/>
      <c r="B55" s="1672" t="s">
        <v>405</v>
      </c>
      <c r="C55" s="1179" t="s">
        <v>293</v>
      </c>
      <c r="D55" s="1708">
        <v>142.535</v>
      </c>
      <c r="E55" s="1709">
        <v>68.854</v>
      </c>
      <c r="F55" s="1708">
        <f>53.36+7.814</f>
        <v>61.174</v>
      </c>
      <c r="G55" s="1674">
        <f>F55/E55*100</f>
        <v>88.84596392366456</v>
      </c>
      <c r="H55" s="1710">
        <f>74.811+51.113</f>
        <v>125.924</v>
      </c>
      <c r="I55" s="1703" t="s">
        <v>1139</v>
      </c>
    </row>
    <row r="56" spans="1:10" s="1660" customFormat="1" ht="16.5" hidden="1">
      <c r="A56" s="951"/>
      <c r="B56" s="1672" t="s">
        <v>1067</v>
      </c>
      <c r="C56" s="1179" t="s">
        <v>293</v>
      </c>
      <c r="D56" s="1711"/>
      <c r="E56" s="1711"/>
      <c r="F56" s="1711"/>
      <c r="G56" s="1670" t="e">
        <f t="shared" si="0"/>
        <v>#DIV/0!</v>
      </c>
      <c r="H56" s="1711"/>
      <c r="I56" s="1712"/>
      <c r="J56" s="1266"/>
    </row>
    <row r="57" spans="1:10" s="1660" customFormat="1" ht="16.5">
      <c r="A57" s="580">
        <v>8</v>
      </c>
      <c r="B57" s="581" t="s">
        <v>406</v>
      </c>
      <c r="C57" s="1172"/>
      <c r="D57" s="1699"/>
      <c r="E57" s="1699"/>
      <c r="F57" s="1699"/>
      <c r="G57" s="1670"/>
      <c r="H57" s="1699"/>
      <c r="I57" s="1713"/>
      <c r="J57" s="1266"/>
    </row>
    <row r="58" spans="1:10" s="1660" customFormat="1" ht="18" customHeight="1">
      <c r="A58" s="951"/>
      <c r="B58" s="1694" t="s">
        <v>407</v>
      </c>
      <c r="C58" s="1179" t="s">
        <v>408</v>
      </c>
      <c r="D58" s="1714">
        <v>18.13</v>
      </c>
      <c r="E58" s="1699">
        <v>16</v>
      </c>
      <c r="F58" s="1709">
        <v>38.658</v>
      </c>
      <c r="G58" s="1674">
        <f t="shared" si="0"/>
        <v>241.6125</v>
      </c>
      <c r="H58" s="1699">
        <v>15</v>
      </c>
      <c r="I58" s="1697"/>
      <c r="J58" s="1266"/>
    </row>
    <row r="59" spans="1:10" s="1660" customFormat="1" ht="16.5">
      <c r="A59" s="951"/>
      <c r="B59" s="1694" t="s">
        <v>409</v>
      </c>
      <c r="C59" s="1179" t="s">
        <v>408</v>
      </c>
      <c r="D59" s="1714">
        <v>14.5</v>
      </c>
      <c r="E59" s="1699">
        <v>15</v>
      </c>
      <c r="F59" s="1714">
        <v>15</v>
      </c>
      <c r="G59" s="1674">
        <f t="shared" si="0"/>
        <v>100</v>
      </c>
      <c r="H59" s="1699">
        <v>20.5</v>
      </c>
      <c r="I59" s="1697"/>
      <c r="J59" s="1266"/>
    </row>
    <row r="60" spans="1:24" s="1266" customFormat="1" ht="32.25" customHeight="1">
      <c r="A60" s="1715">
        <v>9</v>
      </c>
      <c r="B60" s="1716" t="s">
        <v>1125</v>
      </c>
      <c r="C60" s="1717" t="s">
        <v>6</v>
      </c>
      <c r="D60" s="1718">
        <v>95.085</v>
      </c>
      <c r="E60" s="1718">
        <v>96.4</v>
      </c>
      <c r="F60" s="1718">
        <v>95.26</v>
      </c>
      <c r="G60" s="1719">
        <f t="shared" si="0"/>
        <v>98.81742738589212</v>
      </c>
      <c r="H60" s="1718">
        <v>97</v>
      </c>
      <c r="I60" s="1720"/>
      <c r="J60" s="1266" t="s">
        <v>1106</v>
      </c>
      <c r="X60" s="1876"/>
    </row>
    <row r="61" spans="1:24" s="1266" customFormat="1" ht="16.5">
      <c r="A61" s="1721"/>
      <c r="B61" s="1722" t="s">
        <v>1138</v>
      </c>
      <c r="C61" s="1722"/>
      <c r="D61" s="1723" t="s">
        <v>1122</v>
      </c>
      <c r="E61" s="1724" t="s">
        <v>1123</v>
      </c>
      <c r="F61" s="1724" t="s">
        <v>1137</v>
      </c>
      <c r="G61" s="1723"/>
      <c r="H61" s="1724" t="s">
        <v>1134</v>
      </c>
      <c r="I61" s="1725"/>
      <c r="J61" s="1726">
        <f>212.76/250</f>
        <v>0.85104</v>
      </c>
      <c r="X61" s="1879"/>
    </row>
    <row r="62" spans="1:11" ht="16.5">
      <c r="A62" s="580" t="s">
        <v>30</v>
      </c>
      <c r="B62" s="581" t="s">
        <v>414</v>
      </c>
      <c r="C62" s="1172"/>
      <c r="D62" s="1687"/>
      <c r="E62" s="1687"/>
      <c r="F62" s="1687"/>
      <c r="G62" s="1670"/>
      <c r="H62" s="1687"/>
      <c r="I62" s="1727"/>
      <c r="K62" s="1728"/>
    </row>
    <row r="63" spans="1:11" s="1660" customFormat="1" ht="16.5">
      <c r="A63" s="926">
        <v>10</v>
      </c>
      <c r="B63" s="1262" t="s">
        <v>415</v>
      </c>
      <c r="C63" s="1263" t="s">
        <v>299</v>
      </c>
      <c r="D63" s="1690">
        <v>80562</v>
      </c>
      <c r="E63" s="1690">
        <v>82707</v>
      </c>
      <c r="F63" s="1690">
        <v>84690</v>
      </c>
      <c r="G63" s="1670">
        <f t="shared" si="0"/>
        <v>102.39762051579673</v>
      </c>
      <c r="H63" s="1669">
        <v>85498</v>
      </c>
      <c r="I63" s="1675"/>
      <c r="J63" s="1266"/>
      <c r="K63" s="1729"/>
    </row>
    <row r="64" spans="1:10" s="1660" customFormat="1" ht="16.5">
      <c r="A64" s="951"/>
      <c r="B64" s="1672" t="s">
        <v>416</v>
      </c>
      <c r="C64" s="1179" t="s">
        <v>6</v>
      </c>
      <c r="D64" s="1684">
        <v>1.08</v>
      </c>
      <c r="E64" s="1684">
        <v>1.04</v>
      </c>
      <c r="F64" s="1684">
        <v>0.72</v>
      </c>
      <c r="G64" s="1674">
        <f t="shared" si="0"/>
        <v>69.23076923076923</v>
      </c>
      <c r="H64" s="1684">
        <v>1.04</v>
      </c>
      <c r="I64" s="1675"/>
      <c r="J64" s="1266"/>
    </row>
    <row r="65" spans="1:9" s="1266" customFormat="1" ht="16.5">
      <c r="A65" s="951"/>
      <c r="B65" s="1672" t="s">
        <v>417</v>
      </c>
      <c r="C65" s="1179" t="s">
        <v>15</v>
      </c>
      <c r="D65" s="1699">
        <v>0.2</v>
      </c>
      <c r="E65" s="1699">
        <v>0.2</v>
      </c>
      <c r="F65" s="1699">
        <v>0.2</v>
      </c>
      <c r="G65" s="1674">
        <f t="shared" si="0"/>
        <v>100</v>
      </c>
      <c r="H65" s="1699">
        <v>0.2</v>
      </c>
      <c r="I65" s="1675"/>
    </row>
    <row r="66" spans="1:10" s="1660" customFormat="1" ht="16.5">
      <c r="A66" s="951"/>
      <c r="B66" s="1672" t="s">
        <v>418</v>
      </c>
      <c r="C66" s="1179" t="s">
        <v>25</v>
      </c>
      <c r="D66" s="1699">
        <v>72.1</v>
      </c>
      <c r="E66" s="1699">
        <v>72.1</v>
      </c>
      <c r="F66" s="1699">
        <v>72.1</v>
      </c>
      <c r="G66" s="1674">
        <f t="shared" si="0"/>
        <v>100</v>
      </c>
      <c r="H66" s="1699">
        <v>72.1</v>
      </c>
      <c r="I66" s="1675"/>
      <c r="J66" s="1266"/>
    </row>
    <row r="67" spans="1:10" s="1660" customFormat="1" ht="16.5">
      <c r="A67" s="580">
        <v>11</v>
      </c>
      <c r="B67" s="581" t="s">
        <v>419</v>
      </c>
      <c r="C67" s="1172"/>
      <c r="D67" s="1714"/>
      <c r="E67" s="1714"/>
      <c r="F67" s="1714"/>
      <c r="G67" s="1670"/>
      <c r="H67" s="1714"/>
      <c r="I67" s="1730"/>
      <c r="J67" s="1731">
        <v>99.33</v>
      </c>
    </row>
    <row r="68" spans="1:10" s="1660" customFormat="1" ht="16.5" hidden="1">
      <c r="A68" s="569"/>
      <c r="B68" s="570" t="s">
        <v>420</v>
      </c>
      <c r="C68" s="1161" t="s">
        <v>6</v>
      </c>
      <c r="D68" s="1711"/>
      <c r="E68" s="1711"/>
      <c r="F68" s="1711"/>
      <c r="G68" s="1670" t="e">
        <f t="shared" si="0"/>
        <v>#DIV/0!</v>
      </c>
      <c r="H68" s="1711"/>
      <c r="I68" s="1730"/>
      <c r="J68" s="1266"/>
    </row>
    <row r="69" spans="1:10" s="1735" customFormat="1" ht="16.5">
      <c r="A69" s="1732"/>
      <c r="B69" s="1694" t="s">
        <v>1135</v>
      </c>
      <c r="C69" s="1733" t="s">
        <v>6</v>
      </c>
      <c r="D69" s="1714" t="str">
        <f>C69</f>
        <v>%</v>
      </c>
      <c r="E69" s="1714">
        <v>60.87</v>
      </c>
      <c r="F69" s="1714">
        <f>E69</f>
        <v>60.87</v>
      </c>
      <c r="G69" s="1674">
        <v>100</v>
      </c>
      <c r="H69" s="1714">
        <v>63.05</v>
      </c>
      <c r="I69" s="1675"/>
      <c r="J69" s="1734"/>
    </row>
    <row r="70" spans="1:9" ht="16.5" hidden="1">
      <c r="A70" s="951"/>
      <c r="B70" s="1694" t="s">
        <v>422</v>
      </c>
      <c r="C70" s="1179" t="s">
        <v>421</v>
      </c>
      <c r="D70" s="1251"/>
      <c r="E70" s="1711"/>
      <c r="F70" s="1251"/>
      <c r="G70" s="1674" t="e">
        <f t="shared" si="0"/>
        <v>#DIV/0!</v>
      </c>
      <c r="H70" s="1711"/>
      <c r="I70" s="1727"/>
    </row>
    <row r="71" spans="1:10" s="1660" customFormat="1" ht="16.5">
      <c r="A71" s="951"/>
      <c r="B71" s="1694" t="s">
        <v>461</v>
      </c>
      <c r="C71" s="1179" t="s">
        <v>6</v>
      </c>
      <c r="D71" s="1711">
        <v>90</v>
      </c>
      <c r="E71" s="1711">
        <v>90</v>
      </c>
      <c r="F71" s="1711">
        <v>90</v>
      </c>
      <c r="G71" s="1674">
        <f t="shared" si="0"/>
        <v>100</v>
      </c>
      <c r="H71" s="1711">
        <v>90</v>
      </c>
      <c r="I71" s="1675"/>
      <c r="J71" s="1266"/>
    </row>
    <row r="72" spans="1:9" ht="16.5">
      <c r="A72" s="569"/>
      <c r="B72" s="952" t="s">
        <v>1019</v>
      </c>
      <c r="C72" s="1161" t="s">
        <v>6</v>
      </c>
      <c r="D72" s="1251">
        <v>100</v>
      </c>
      <c r="E72" s="1714">
        <v>100</v>
      </c>
      <c r="F72" s="1251">
        <v>100</v>
      </c>
      <c r="G72" s="1674">
        <f t="shared" si="0"/>
        <v>100</v>
      </c>
      <c r="H72" s="1714">
        <v>100</v>
      </c>
      <c r="I72" s="1675"/>
    </row>
    <row r="73" spans="1:10" s="1660" customFormat="1" ht="16.5">
      <c r="A73" s="951"/>
      <c r="B73" s="1736" t="s">
        <v>1079</v>
      </c>
      <c r="C73" s="1179" t="s">
        <v>6</v>
      </c>
      <c r="D73" s="1711">
        <v>98</v>
      </c>
      <c r="E73" s="1699">
        <v>98</v>
      </c>
      <c r="F73" s="1711">
        <v>98</v>
      </c>
      <c r="G73" s="1674">
        <f t="shared" si="0"/>
        <v>100</v>
      </c>
      <c r="H73" s="1699">
        <v>98</v>
      </c>
      <c r="I73" s="1675"/>
      <c r="J73" s="1266"/>
    </row>
    <row r="74" spans="1:9" ht="16.5" hidden="1">
      <c r="A74" s="569"/>
      <c r="B74" s="570" t="s">
        <v>424</v>
      </c>
      <c r="C74" s="1161" t="s">
        <v>425</v>
      </c>
      <c r="D74" s="1251"/>
      <c r="E74" s="1251"/>
      <c r="F74" s="1251"/>
      <c r="G74" s="1674" t="e">
        <f t="shared" si="0"/>
        <v>#DIV/0!</v>
      </c>
      <c r="H74" s="1251"/>
      <c r="I74" s="1675"/>
    </row>
    <row r="75" spans="1:9" s="583" customFormat="1" ht="16.5">
      <c r="A75" s="569"/>
      <c r="B75" s="952" t="s">
        <v>423</v>
      </c>
      <c r="C75" s="1161" t="s">
        <v>6</v>
      </c>
      <c r="D75" s="1170">
        <v>100</v>
      </c>
      <c r="E75" s="1251">
        <v>100</v>
      </c>
      <c r="F75" s="1170">
        <v>100</v>
      </c>
      <c r="G75" s="1674">
        <f t="shared" si="0"/>
        <v>100</v>
      </c>
      <c r="H75" s="1251">
        <v>100</v>
      </c>
      <c r="I75" s="1675"/>
    </row>
    <row r="76" spans="1:9" ht="16.5">
      <c r="A76" s="569"/>
      <c r="B76" s="570" t="s">
        <v>1020</v>
      </c>
      <c r="C76" s="1161" t="s">
        <v>425</v>
      </c>
      <c r="D76" s="1251">
        <v>12</v>
      </c>
      <c r="E76" s="1251">
        <v>12</v>
      </c>
      <c r="F76" s="1251">
        <v>12</v>
      </c>
      <c r="G76" s="1674">
        <f t="shared" si="0"/>
        <v>100</v>
      </c>
      <c r="H76" s="1251">
        <v>12</v>
      </c>
      <c r="I76" s="1675"/>
    </row>
    <row r="77" spans="1:10" s="1660" customFormat="1" ht="16.5">
      <c r="A77" s="580">
        <v>12</v>
      </c>
      <c r="B77" s="581" t="s">
        <v>173</v>
      </c>
      <c r="C77" s="1172"/>
      <c r="D77" s="1684"/>
      <c r="E77" s="1684"/>
      <c r="F77" s="1684"/>
      <c r="G77" s="1670"/>
      <c r="H77" s="1684"/>
      <c r="I77" s="1737"/>
      <c r="J77" s="1731">
        <f>SUM(G78:G84)/7</f>
        <v>100.08354218880535</v>
      </c>
    </row>
    <row r="78" spans="1:10" s="1660" customFormat="1" ht="36" customHeight="1">
      <c r="A78" s="951"/>
      <c r="B78" s="969" t="s">
        <v>1062</v>
      </c>
      <c r="C78" s="1179" t="s">
        <v>428</v>
      </c>
      <c r="D78" s="1714">
        <v>14.02</v>
      </c>
      <c r="E78" s="1714">
        <v>14.3</v>
      </c>
      <c r="F78" s="1714">
        <v>14.3</v>
      </c>
      <c r="G78" s="1674">
        <f t="shared" si="0"/>
        <v>100</v>
      </c>
      <c r="H78" s="1699">
        <v>14.6</v>
      </c>
      <c r="I78" s="1675"/>
      <c r="J78" s="1266"/>
    </row>
    <row r="79" spans="1:10" s="1660" customFormat="1" ht="16.5">
      <c r="A79" s="951"/>
      <c r="B79" s="1672" t="s">
        <v>429</v>
      </c>
      <c r="C79" s="1179" t="s">
        <v>430</v>
      </c>
      <c r="D79" s="1699">
        <v>6.3</v>
      </c>
      <c r="E79" s="1699">
        <v>6.3</v>
      </c>
      <c r="F79" s="1699">
        <v>6.3</v>
      </c>
      <c r="G79" s="1674">
        <f t="shared" si="0"/>
        <v>100</v>
      </c>
      <c r="H79" s="1699">
        <v>6.5</v>
      </c>
      <c r="I79" s="1675"/>
      <c r="J79" s="1266"/>
    </row>
    <row r="80" spans="1:10" s="1660" customFormat="1" ht="16.5">
      <c r="A80" s="951"/>
      <c r="B80" s="1694" t="s">
        <v>1119</v>
      </c>
      <c r="C80" s="1179" t="s">
        <v>6</v>
      </c>
      <c r="D80" s="1738">
        <v>100</v>
      </c>
      <c r="E80" s="1738">
        <v>100</v>
      </c>
      <c r="F80" s="1738">
        <v>100</v>
      </c>
      <c r="G80" s="1674">
        <f t="shared" si="0"/>
        <v>100</v>
      </c>
      <c r="H80" s="1738">
        <v>100</v>
      </c>
      <c r="I80" s="1675"/>
      <c r="J80" s="1266"/>
    </row>
    <row r="81" spans="1:10" s="1660" customFormat="1" ht="16.5">
      <c r="A81" s="951"/>
      <c r="B81" s="1694" t="s">
        <v>432</v>
      </c>
      <c r="C81" s="1179" t="s">
        <v>6</v>
      </c>
      <c r="D81" s="1738">
        <v>90</v>
      </c>
      <c r="E81" s="1738">
        <v>92</v>
      </c>
      <c r="F81" s="1738">
        <v>92</v>
      </c>
      <c r="G81" s="1674">
        <f t="shared" si="0"/>
        <v>100</v>
      </c>
      <c r="H81" s="1738" t="s">
        <v>1081</v>
      </c>
      <c r="I81" s="1675"/>
      <c r="J81" s="1266"/>
    </row>
    <row r="82" spans="1:10" s="1660" customFormat="1" ht="16.5">
      <c r="A82" s="951"/>
      <c r="B82" s="1694" t="s">
        <v>433</v>
      </c>
      <c r="C82" s="1179" t="s">
        <v>6</v>
      </c>
      <c r="D82" s="1673">
        <v>17.3</v>
      </c>
      <c r="E82" s="1673">
        <v>17.2</v>
      </c>
      <c r="F82" s="1673">
        <v>17.1</v>
      </c>
      <c r="G82" s="1674">
        <f>E82/F82*100</f>
        <v>100.58479532163742</v>
      </c>
      <c r="H82" s="1673">
        <v>17</v>
      </c>
      <c r="I82" s="1675"/>
      <c r="J82" s="1266"/>
    </row>
    <row r="83" spans="1:9" s="1266" customFormat="1" ht="16.5">
      <c r="A83" s="951"/>
      <c r="B83" s="1694" t="s">
        <v>972</v>
      </c>
      <c r="C83" s="1179" t="s">
        <v>6</v>
      </c>
      <c r="D83" s="1711">
        <v>100</v>
      </c>
      <c r="E83" s="1711">
        <v>100</v>
      </c>
      <c r="F83" s="1711">
        <v>100</v>
      </c>
      <c r="G83" s="1674">
        <f t="shared" si="0"/>
        <v>100</v>
      </c>
      <c r="H83" s="1711">
        <v>100</v>
      </c>
      <c r="I83" s="1675"/>
    </row>
    <row r="84" spans="1:10" s="1660" customFormat="1" ht="16.5">
      <c r="A84" s="951"/>
      <c r="B84" s="1694" t="s">
        <v>434</v>
      </c>
      <c r="C84" s="1179" t="s">
        <v>6</v>
      </c>
      <c r="D84" s="1492">
        <v>92</v>
      </c>
      <c r="E84" s="1673">
        <v>93.09</v>
      </c>
      <c r="F84" s="1673">
        <v>93.09</v>
      </c>
      <c r="G84" s="1674">
        <f aca="true" t="shared" si="2" ref="G84:G131">F84/E84*100</f>
        <v>100</v>
      </c>
      <c r="H84" s="1684">
        <v>94</v>
      </c>
      <c r="I84" s="1675"/>
      <c r="J84" s="1266"/>
    </row>
    <row r="85" spans="1:9" ht="16.5">
      <c r="A85" s="580">
        <v>13</v>
      </c>
      <c r="B85" s="581" t="s">
        <v>435</v>
      </c>
      <c r="C85" s="1172"/>
      <c r="D85" s="1739"/>
      <c r="E85" s="1739"/>
      <c r="F85" s="1739"/>
      <c r="G85" s="1674"/>
      <c r="H85" s="1739"/>
      <c r="I85" s="1727"/>
    </row>
    <row r="86" spans="1:10" ht="16.5">
      <c r="A86" s="569"/>
      <c r="B86" s="570" t="s">
        <v>1112</v>
      </c>
      <c r="C86" s="1161" t="s">
        <v>6</v>
      </c>
      <c r="D86" s="1740">
        <v>43</v>
      </c>
      <c r="E86" s="1740">
        <v>43</v>
      </c>
      <c r="F86" s="1740">
        <v>43</v>
      </c>
      <c r="G86" s="1674">
        <f t="shared" si="2"/>
        <v>100</v>
      </c>
      <c r="H86" s="1739">
        <v>44</v>
      </c>
      <c r="I86" s="1727"/>
      <c r="J86" s="572"/>
    </row>
    <row r="87" spans="1:9" s="1660" customFormat="1" ht="26.25" customHeight="1">
      <c r="A87" s="951"/>
      <c r="B87" s="1741" t="s">
        <v>1114</v>
      </c>
      <c r="C87" s="1179" t="s">
        <v>299</v>
      </c>
      <c r="D87" s="1730">
        <v>2000</v>
      </c>
      <c r="E87" s="1730">
        <v>2000</v>
      </c>
      <c r="F87" s="1730">
        <v>2300</v>
      </c>
      <c r="G87" s="1674">
        <f t="shared" si="2"/>
        <v>114.99999999999999</v>
      </c>
      <c r="H87" s="1730">
        <v>2000</v>
      </c>
      <c r="I87" s="1675"/>
    </row>
    <row r="88" spans="1:9" s="1660" customFormat="1" ht="26.25" customHeight="1">
      <c r="A88" s="951"/>
      <c r="B88" s="1741" t="s">
        <v>1113</v>
      </c>
      <c r="C88" s="1179" t="s">
        <v>299</v>
      </c>
      <c r="D88" s="1730">
        <v>390</v>
      </c>
      <c r="E88" s="1730">
        <v>310</v>
      </c>
      <c r="F88" s="1730">
        <v>345</v>
      </c>
      <c r="G88" s="1674">
        <f t="shared" si="2"/>
        <v>111.29032258064515</v>
      </c>
      <c r="H88" s="1730">
        <v>310</v>
      </c>
      <c r="I88" s="1675"/>
    </row>
    <row r="89" spans="1:9" s="1660" customFormat="1" ht="16.5">
      <c r="A89" s="951"/>
      <c r="B89" s="927" t="s">
        <v>925</v>
      </c>
      <c r="C89" s="1179" t="s">
        <v>1025</v>
      </c>
      <c r="D89" s="1673">
        <v>56.8</v>
      </c>
      <c r="E89" s="1673">
        <v>56.8</v>
      </c>
      <c r="F89" s="1673">
        <v>56.8</v>
      </c>
      <c r="G89" s="1674">
        <f t="shared" si="2"/>
        <v>100</v>
      </c>
      <c r="H89" s="1673">
        <v>56.8</v>
      </c>
      <c r="I89" s="1675"/>
    </row>
    <row r="90" spans="1:9" s="1660" customFormat="1" ht="16.5">
      <c r="A90" s="951"/>
      <c r="B90" s="1741" t="s">
        <v>1102</v>
      </c>
      <c r="C90" s="1179" t="s">
        <v>1103</v>
      </c>
      <c r="D90" s="1492"/>
      <c r="E90" s="1492">
        <v>235</v>
      </c>
      <c r="F90" s="1492">
        <v>242</v>
      </c>
      <c r="G90" s="1674">
        <f t="shared" si="2"/>
        <v>102.9787234042553</v>
      </c>
      <c r="H90" s="1492">
        <v>235</v>
      </c>
      <c r="I90" s="951"/>
    </row>
    <row r="91" spans="1:11" s="1660" customFormat="1" ht="16.5" customHeight="1">
      <c r="A91" s="580">
        <v>14</v>
      </c>
      <c r="B91" s="581" t="s">
        <v>436</v>
      </c>
      <c r="C91" s="1172"/>
      <c r="D91" s="1738"/>
      <c r="E91" s="1738"/>
      <c r="F91" s="1738"/>
      <c r="G91" s="1674"/>
      <c r="H91" s="1738"/>
      <c r="I91" s="1730"/>
      <c r="J91" s="1742">
        <f>SUM(G92:G98)/7</f>
        <v>102.924241087965</v>
      </c>
      <c r="K91" s="1660" t="s">
        <v>1107</v>
      </c>
    </row>
    <row r="92" spans="1:10" s="1660" customFormat="1" ht="16.5">
      <c r="A92" s="951"/>
      <c r="B92" s="1672" t="s">
        <v>437</v>
      </c>
      <c r="C92" s="1179" t="s">
        <v>6</v>
      </c>
      <c r="D92" s="1738">
        <v>100</v>
      </c>
      <c r="E92" s="1672">
        <v>100</v>
      </c>
      <c r="F92" s="1738">
        <v>100</v>
      </c>
      <c r="G92" s="1674">
        <f>F92/E92*100</f>
        <v>100</v>
      </c>
      <c r="H92" s="1672">
        <v>100</v>
      </c>
      <c r="I92" s="1675"/>
      <c r="J92" s="1266"/>
    </row>
    <row r="93" spans="1:10" s="1660" customFormat="1" ht="16.5">
      <c r="A93" s="951"/>
      <c r="B93" s="1672" t="s">
        <v>438</v>
      </c>
      <c r="C93" s="1179" t="s">
        <v>6</v>
      </c>
      <c r="D93" s="1699">
        <v>92</v>
      </c>
      <c r="E93" s="1711">
        <v>91</v>
      </c>
      <c r="F93" s="1699">
        <v>92</v>
      </c>
      <c r="G93" s="1674">
        <f>F93/E93*100</f>
        <v>101.0989010989011</v>
      </c>
      <c r="H93" s="1711">
        <v>92</v>
      </c>
      <c r="I93" s="1675"/>
      <c r="J93" s="1266"/>
    </row>
    <row r="94" spans="1:10" s="1660" customFormat="1" ht="16.5">
      <c r="A94" s="951"/>
      <c r="B94" s="1672" t="s">
        <v>1048</v>
      </c>
      <c r="C94" s="1179" t="s">
        <v>6</v>
      </c>
      <c r="D94" s="1699">
        <v>93.5</v>
      </c>
      <c r="E94" s="1711">
        <v>89</v>
      </c>
      <c r="F94" s="1699">
        <v>92</v>
      </c>
      <c r="G94" s="1674">
        <f>F94/E94*100</f>
        <v>103.37078651685394</v>
      </c>
      <c r="H94" s="1711">
        <v>92</v>
      </c>
      <c r="I94" s="1675"/>
      <c r="J94" s="1266"/>
    </row>
    <row r="95" spans="1:10" s="1660" customFormat="1" ht="16.5">
      <c r="A95" s="951"/>
      <c r="B95" s="1672" t="s">
        <v>1049</v>
      </c>
      <c r="C95" s="1179" t="s">
        <v>6</v>
      </c>
      <c r="D95" s="1492">
        <v>58</v>
      </c>
      <c r="E95" s="1492">
        <v>50</v>
      </c>
      <c r="F95" s="1492">
        <v>58</v>
      </c>
      <c r="G95" s="1674">
        <f>F95/E95*100</f>
        <v>115.99999999999999</v>
      </c>
      <c r="H95" s="1492">
        <v>58</v>
      </c>
      <c r="I95" s="1743"/>
      <c r="J95" s="1266"/>
    </row>
    <row r="96" spans="1:10" s="1660" customFormat="1" ht="16.5">
      <c r="A96" s="951"/>
      <c r="B96" s="1672" t="s">
        <v>441</v>
      </c>
      <c r="C96" s="1179" t="s">
        <v>6</v>
      </c>
      <c r="D96" s="1711">
        <v>90</v>
      </c>
      <c r="E96" s="1711">
        <v>95</v>
      </c>
      <c r="F96" s="1711">
        <v>95</v>
      </c>
      <c r="G96" s="1674">
        <f>F96/E96*100</f>
        <v>100</v>
      </c>
      <c r="H96" s="1711">
        <v>95</v>
      </c>
      <c r="I96" s="1675"/>
      <c r="J96" s="1266"/>
    </row>
    <row r="97" spans="1:10" s="1660" customFormat="1" ht="16.5">
      <c r="A97" s="951"/>
      <c r="B97" s="1694" t="s">
        <v>442</v>
      </c>
      <c r="C97" s="1179" t="s">
        <v>6</v>
      </c>
      <c r="D97" s="1711">
        <v>100</v>
      </c>
      <c r="E97" s="1711">
        <v>100</v>
      </c>
      <c r="F97" s="1711">
        <v>100</v>
      </c>
      <c r="G97" s="1674">
        <v>100</v>
      </c>
      <c r="H97" s="1711">
        <v>100</v>
      </c>
      <c r="I97" s="1675"/>
      <c r="J97" s="1266"/>
    </row>
    <row r="98" spans="1:10" s="1660" customFormat="1" ht="16.5">
      <c r="A98" s="951"/>
      <c r="B98" s="1672" t="s">
        <v>443</v>
      </c>
      <c r="C98" s="1179" t="s">
        <v>6</v>
      </c>
      <c r="D98" s="1711">
        <v>100</v>
      </c>
      <c r="E98" s="1711">
        <v>100</v>
      </c>
      <c r="F98" s="1711">
        <v>100</v>
      </c>
      <c r="G98" s="1674">
        <v>100</v>
      </c>
      <c r="H98" s="1711">
        <v>100</v>
      </c>
      <c r="I98" s="1675"/>
      <c r="J98" s="1266"/>
    </row>
    <row r="99" spans="1:9" s="583" customFormat="1" ht="16.5" hidden="1">
      <c r="A99" s="569"/>
      <c r="B99" s="570" t="s">
        <v>462</v>
      </c>
      <c r="C99" s="1161" t="s">
        <v>463</v>
      </c>
      <c r="D99" s="1251"/>
      <c r="E99" s="1251"/>
      <c r="F99" s="1251"/>
      <c r="G99" s="1674" t="e">
        <f t="shared" si="2"/>
        <v>#DIV/0!</v>
      </c>
      <c r="H99" s="1251"/>
      <c r="I99" s="1200"/>
    </row>
    <row r="100" spans="1:10" s="1660" customFormat="1" ht="16.5" hidden="1">
      <c r="A100" s="569"/>
      <c r="B100" s="952" t="s">
        <v>464</v>
      </c>
      <c r="C100" s="1161" t="s">
        <v>463</v>
      </c>
      <c r="D100" s="1744"/>
      <c r="E100" s="1744"/>
      <c r="F100" s="1744"/>
      <c r="G100" s="1674" t="e">
        <f t="shared" si="2"/>
        <v>#DIV/0!</v>
      </c>
      <c r="H100" s="1744"/>
      <c r="I100" s="1730"/>
      <c r="J100" s="1266"/>
    </row>
    <row r="101" spans="1:10" s="1413" customFormat="1" ht="17.25">
      <c r="A101" s="580">
        <v>15</v>
      </c>
      <c r="B101" s="581" t="s">
        <v>444</v>
      </c>
      <c r="C101" s="1172"/>
      <c r="D101" s="1745"/>
      <c r="E101" s="1745"/>
      <c r="F101" s="1745"/>
      <c r="G101" s="1674"/>
      <c r="H101" s="1745"/>
      <c r="I101" s="1730"/>
      <c r="J101" s="1746"/>
    </row>
    <row r="102" spans="1:12" s="583" customFormat="1" ht="16.5">
      <c r="A102" s="951"/>
      <c r="B102" s="969" t="s">
        <v>954</v>
      </c>
      <c r="C102" s="1179" t="s">
        <v>6</v>
      </c>
      <c r="D102" s="1256">
        <v>4.32</v>
      </c>
      <c r="E102" s="1256">
        <v>3.82</v>
      </c>
      <c r="F102" s="1256">
        <v>3.82</v>
      </c>
      <c r="G102" s="1674">
        <f>E102/F102*100</f>
        <v>100</v>
      </c>
      <c r="H102" s="1256">
        <v>3.32</v>
      </c>
      <c r="I102" s="1675"/>
      <c r="J102" s="1747">
        <f>SUM(G102:G103)/2</f>
        <v>100</v>
      </c>
      <c r="K102" s="583">
        <v>3.3</v>
      </c>
      <c r="L102" s="583" t="s">
        <v>1105</v>
      </c>
    </row>
    <row r="103" spans="1:12" s="1660" customFormat="1" ht="33">
      <c r="A103" s="966"/>
      <c r="B103" s="1748" t="s">
        <v>1121</v>
      </c>
      <c r="C103" s="1404" t="s">
        <v>6</v>
      </c>
      <c r="D103" s="1744">
        <v>14.99</v>
      </c>
      <c r="E103" s="1744">
        <v>13.5</v>
      </c>
      <c r="F103" s="1744">
        <v>13.5</v>
      </c>
      <c r="G103" s="1674">
        <f>E103/F103*100</f>
        <v>100</v>
      </c>
      <c r="H103" s="1744">
        <v>11.5</v>
      </c>
      <c r="I103" s="1675"/>
      <c r="J103" s="1266"/>
      <c r="K103" s="1660">
        <v>4.02</v>
      </c>
      <c r="L103" s="583" t="s">
        <v>1104</v>
      </c>
    </row>
    <row r="104" spans="1:10" s="1660" customFormat="1" ht="16.5" customHeight="1" hidden="1">
      <c r="A104" s="966"/>
      <c r="B104" s="1748" t="s">
        <v>1069</v>
      </c>
      <c r="C104" s="1404" t="s">
        <v>6</v>
      </c>
      <c r="D104" s="1714"/>
      <c r="E104" s="1714"/>
      <c r="F104" s="1714"/>
      <c r="G104" s="1674" t="e">
        <f t="shared" si="2"/>
        <v>#DIV/0!</v>
      </c>
      <c r="H104" s="1714"/>
      <c r="I104" s="1200"/>
      <c r="J104" s="1266"/>
    </row>
    <row r="105" spans="1:9" s="583" customFormat="1" ht="16.5">
      <c r="A105" s="580">
        <v>16</v>
      </c>
      <c r="B105" s="581" t="s">
        <v>445</v>
      </c>
      <c r="C105" s="1172"/>
      <c r="D105" s="1251"/>
      <c r="E105" s="1251"/>
      <c r="F105" s="1251"/>
      <c r="G105" s="1674"/>
      <c r="H105" s="1251"/>
      <c r="I105" s="1200"/>
    </row>
    <row r="106" spans="1:10" s="1660" customFormat="1" ht="16.5">
      <c r="A106" s="951"/>
      <c r="B106" s="1672" t="s">
        <v>446</v>
      </c>
      <c r="C106" s="1179" t="s">
        <v>6</v>
      </c>
      <c r="D106" s="1673">
        <v>99.4</v>
      </c>
      <c r="E106" s="1673">
        <v>99.6</v>
      </c>
      <c r="F106" s="1673">
        <v>99.6</v>
      </c>
      <c r="G106" s="1674">
        <f t="shared" si="2"/>
        <v>100</v>
      </c>
      <c r="H106" s="1673">
        <v>99.7</v>
      </c>
      <c r="I106" s="1697"/>
      <c r="J106" s="1266"/>
    </row>
    <row r="107" spans="1:10" s="1660" customFormat="1" ht="16.5">
      <c r="A107" s="951"/>
      <c r="B107" s="1694" t="s">
        <v>447</v>
      </c>
      <c r="C107" s="1179" t="s">
        <v>6</v>
      </c>
      <c r="D107" s="1699">
        <v>100</v>
      </c>
      <c r="E107" s="1711">
        <v>100</v>
      </c>
      <c r="F107" s="1699">
        <v>100</v>
      </c>
      <c r="G107" s="1674">
        <f t="shared" si="2"/>
        <v>100</v>
      </c>
      <c r="H107" s="1711">
        <v>100</v>
      </c>
      <c r="I107" s="1697"/>
      <c r="J107" s="1266"/>
    </row>
    <row r="108" spans="1:9" s="583" customFormat="1" ht="16.5">
      <c r="A108" s="580">
        <v>17</v>
      </c>
      <c r="B108" s="581" t="s">
        <v>448</v>
      </c>
      <c r="C108" s="1172"/>
      <c r="D108" s="1251"/>
      <c r="E108" s="1251"/>
      <c r="F108" s="1251"/>
      <c r="G108" s="1674"/>
      <c r="H108" s="1251"/>
      <c r="I108" s="1251"/>
    </row>
    <row r="109" spans="1:10" s="1660" customFormat="1" ht="16.5">
      <c r="A109" s="951"/>
      <c r="B109" s="1672" t="s">
        <v>957</v>
      </c>
      <c r="C109" s="1179" t="s">
        <v>6</v>
      </c>
      <c r="D109" s="1699">
        <v>97.5</v>
      </c>
      <c r="E109" s="1699">
        <v>98</v>
      </c>
      <c r="F109" s="1699">
        <v>98</v>
      </c>
      <c r="G109" s="1674">
        <f t="shared" si="2"/>
        <v>100</v>
      </c>
      <c r="H109" s="1699">
        <v>98</v>
      </c>
      <c r="I109" s="1675"/>
      <c r="J109" s="1266"/>
    </row>
    <row r="110" spans="1:10" s="1660" customFormat="1" ht="16.5" hidden="1">
      <c r="A110" s="569"/>
      <c r="B110" s="570" t="s">
        <v>473</v>
      </c>
      <c r="C110" s="1161" t="s">
        <v>6</v>
      </c>
      <c r="D110" s="1711"/>
      <c r="E110" s="1711"/>
      <c r="F110" s="1711"/>
      <c r="G110" s="1674" t="e">
        <f t="shared" si="2"/>
        <v>#DIV/0!</v>
      </c>
      <c r="H110" s="1711"/>
      <c r="I110" s="1749"/>
      <c r="J110" s="1266"/>
    </row>
    <row r="111" spans="1:9" ht="16.5">
      <c r="A111" s="580">
        <v>18</v>
      </c>
      <c r="B111" s="581" t="s">
        <v>449</v>
      </c>
      <c r="C111" s="1172"/>
      <c r="D111" s="1251"/>
      <c r="E111" s="1251"/>
      <c r="F111" s="1251"/>
      <c r="G111" s="1674"/>
      <c r="H111" s="1251"/>
      <c r="I111" s="1200"/>
    </row>
    <row r="112" spans="1:9" s="1266" customFormat="1" ht="31.5" customHeight="1">
      <c r="A112" s="951"/>
      <c r="B112" s="969" t="s">
        <v>1120</v>
      </c>
      <c r="C112" s="1179" t="s">
        <v>6</v>
      </c>
      <c r="D112" s="1711">
        <v>97</v>
      </c>
      <c r="E112" s="1711">
        <v>98</v>
      </c>
      <c r="F112" s="1711">
        <v>98</v>
      </c>
      <c r="G112" s="1674">
        <f t="shared" si="2"/>
        <v>100</v>
      </c>
      <c r="H112" s="1711">
        <v>99</v>
      </c>
      <c r="I112" s="1675"/>
    </row>
    <row r="113" spans="1:10" s="1660" customFormat="1" ht="66">
      <c r="A113" s="951"/>
      <c r="B113" s="969" t="s">
        <v>1051</v>
      </c>
      <c r="C113" s="1179" t="s">
        <v>6</v>
      </c>
      <c r="D113" s="1492">
        <v>61</v>
      </c>
      <c r="E113" s="1492">
        <v>61</v>
      </c>
      <c r="F113" s="1492">
        <v>61</v>
      </c>
      <c r="G113" s="1674"/>
      <c r="H113" s="1492">
        <v>61</v>
      </c>
      <c r="I113" s="1730"/>
      <c r="J113" s="1266"/>
    </row>
    <row r="114" spans="1:9" ht="16.5" hidden="1">
      <c r="A114" s="569"/>
      <c r="B114" s="952" t="s">
        <v>475</v>
      </c>
      <c r="C114" s="1161" t="s">
        <v>6</v>
      </c>
      <c r="D114" s="1251"/>
      <c r="E114" s="1251"/>
      <c r="F114" s="1251"/>
      <c r="G114" s="1674" t="e">
        <f t="shared" si="2"/>
        <v>#DIV/0!</v>
      </c>
      <c r="H114" s="1251"/>
      <c r="I114" s="1740"/>
    </row>
    <row r="115" spans="1:10" ht="16.5">
      <c r="A115" s="580">
        <v>19</v>
      </c>
      <c r="B115" s="581" t="s">
        <v>470</v>
      </c>
      <c r="C115" s="1172"/>
      <c r="D115" s="1251"/>
      <c r="E115" s="1251"/>
      <c r="F115" s="1251"/>
      <c r="G115" s="1674"/>
      <c r="H115" s="1251"/>
      <c r="I115" s="1200"/>
      <c r="J115" s="583" t="s">
        <v>1075</v>
      </c>
    </row>
    <row r="116" spans="1:9" s="1266" customFormat="1" ht="16.5">
      <c r="A116" s="951"/>
      <c r="B116" s="1750" t="s">
        <v>1052</v>
      </c>
      <c r="C116" s="1179" t="s">
        <v>455</v>
      </c>
      <c r="D116" s="1695">
        <v>160000</v>
      </c>
      <c r="E116" s="1695">
        <v>160000</v>
      </c>
      <c r="F116" s="1695">
        <v>161500</v>
      </c>
      <c r="G116" s="1674">
        <f t="shared" si="2"/>
        <v>100.93749999999999</v>
      </c>
      <c r="H116" s="1695">
        <v>165000</v>
      </c>
      <c r="I116" s="1751"/>
    </row>
    <row r="117" spans="1:10" s="1660" customFormat="1" ht="16.5">
      <c r="A117" s="951"/>
      <c r="B117" s="1750" t="s">
        <v>1053</v>
      </c>
      <c r="C117" s="1179" t="s">
        <v>455</v>
      </c>
      <c r="D117" s="1695">
        <v>550000</v>
      </c>
      <c r="E117" s="1695">
        <v>600000</v>
      </c>
      <c r="F117" s="1695">
        <v>615000</v>
      </c>
      <c r="G117" s="1674">
        <f t="shared" si="2"/>
        <v>102.49999999999999</v>
      </c>
      <c r="H117" s="1695">
        <v>625000</v>
      </c>
      <c r="I117" s="1675"/>
      <c r="J117" s="1266"/>
    </row>
    <row r="118" spans="1:9" ht="16.5" customHeight="1" hidden="1">
      <c r="A118" s="569"/>
      <c r="B118" s="570" t="s">
        <v>454</v>
      </c>
      <c r="C118" s="1161" t="s">
        <v>455</v>
      </c>
      <c r="D118" s="1251"/>
      <c r="E118" s="1251"/>
      <c r="F118" s="1251"/>
      <c r="G118" s="1674" t="e">
        <f t="shared" si="2"/>
        <v>#DIV/0!</v>
      </c>
      <c r="H118" s="1251"/>
      <c r="I118" s="1492"/>
    </row>
    <row r="119" spans="1:10" ht="16.5">
      <c r="A119" s="580">
        <v>20</v>
      </c>
      <c r="B119" s="1752" t="s">
        <v>1054</v>
      </c>
      <c r="C119" s="1172"/>
      <c r="D119" s="1251"/>
      <c r="E119" s="1251"/>
      <c r="F119" s="1251"/>
      <c r="G119" s="1674"/>
      <c r="H119" s="1251"/>
      <c r="I119" s="1492"/>
      <c r="J119" s="1753">
        <f>SUM(G120:G121)/2</f>
        <v>95.88116085298688</v>
      </c>
    </row>
    <row r="120" spans="1:9" s="1266" customFormat="1" ht="16.5">
      <c r="A120" s="951"/>
      <c r="B120" s="1750" t="s">
        <v>1055</v>
      </c>
      <c r="C120" s="1179" t="s">
        <v>6</v>
      </c>
      <c r="D120" s="1699">
        <v>35.1</v>
      </c>
      <c r="E120" s="1699">
        <v>36.5</v>
      </c>
      <c r="F120" s="1699">
        <v>35.1</v>
      </c>
      <c r="G120" s="1674">
        <f t="shared" si="2"/>
        <v>96.16438356164385</v>
      </c>
      <c r="H120" s="1699">
        <v>36.5</v>
      </c>
      <c r="I120" s="1697"/>
    </row>
    <row r="121" spans="1:10" s="1660" customFormat="1" ht="16.5">
      <c r="A121" s="951"/>
      <c r="B121" s="1750" t="s">
        <v>1056</v>
      </c>
      <c r="C121" s="1754" t="s">
        <v>413</v>
      </c>
      <c r="D121" s="1755">
        <v>924.9</v>
      </c>
      <c r="E121" s="1711">
        <v>970</v>
      </c>
      <c r="F121" s="1755">
        <v>927.3</v>
      </c>
      <c r="G121" s="1674">
        <f t="shared" si="2"/>
        <v>95.5979381443299</v>
      </c>
      <c r="H121" s="1711">
        <v>950</v>
      </c>
      <c r="I121" s="1697"/>
      <c r="J121" s="1266"/>
    </row>
    <row r="122" spans="1:9" s="583" customFormat="1" ht="16.5">
      <c r="A122" s="580">
        <v>21</v>
      </c>
      <c r="B122" s="581" t="s">
        <v>1073</v>
      </c>
      <c r="C122" s="1172" t="s">
        <v>1074</v>
      </c>
      <c r="D122" s="1690">
        <v>16</v>
      </c>
      <c r="E122" s="1690">
        <v>15</v>
      </c>
      <c r="F122" s="1756">
        <v>15.63</v>
      </c>
      <c r="G122" s="1670">
        <f>F122/E122*100</f>
        <v>104.2</v>
      </c>
      <c r="H122" s="1690">
        <v>16</v>
      </c>
      <c r="I122" s="1690"/>
    </row>
    <row r="123" spans="1:10" s="1660" customFormat="1" ht="33" hidden="1">
      <c r="A123" s="1757"/>
      <c r="B123" s="1758" t="s">
        <v>1108</v>
      </c>
      <c r="C123" s="1179"/>
      <c r="D123" s="1711"/>
      <c r="E123" s="1713"/>
      <c r="F123" s="1711"/>
      <c r="G123" s="1674" t="e">
        <f t="shared" si="2"/>
        <v>#DIV/0!</v>
      </c>
      <c r="H123" s="1711"/>
      <c r="I123" s="1672"/>
      <c r="J123" s="1266"/>
    </row>
    <row r="124" spans="1:10" s="1660" customFormat="1" ht="35.25" customHeight="1" hidden="1">
      <c r="A124" s="1759"/>
      <c r="B124" s="1760" t="s">
        <v>1061</v>
      </c>
      <c r="C124" s="1404" t="s">
        <v>1057</v>
      </c>
      <c r="D124" s="1406"/>
      <c r="E124" s="1406"/>
      <c r="F124" s="1406"/>
      <c r="G124" s="1674" t="e">
        <f t="shared" si="2"/>
        <v>#DIV/0!</v>
      </c>
      <c r="H124" s="1406"/>
      <c r="I124" s="1672"/>
      <c r="J124" s="1266"/>
    </row>
    <row r="125" spans="1:9" ht="33" customHeight="1" hidden="1">
      <c r="A125" s="1759"/>
      <c r="B125" s="1760" t="s">
        <v>1084</v>
      </c>
      <c r="C125" s="1404"/>
      <c r="D125" s="1711"/>
      <c r="E125" s="1713"/>
      <c r="F125" s="1711"/>
      <c r="G125" s="1674" t="e">
        <f t="shared" si="2"/>
        <v>#DIV/0!</v>
      </c>
      <c r="H125" s="1711"/>
      <c r="I125" s="569"/>
    </row>
    <row r="126" spans="1:10" ht="16.5">
      <c r="A126" s="1757"/>
      <c r="B126" s="1761" t="s">
        <v>1115</v>
      </c>
      <c r="C126" s="1179"/>
      <c r="D126" s="1749" t="s">
        <v>1116</v>
      </c>
      <c r="E126" s="1749"/>
      <c r="F126" s="1749" t="s">
        <v>1132</v>
      </c>
      <c r="G126" s="1674"/>
      <c r="H126" s="1711">
        <v>1</v>
      </c>
      <c r="I126" s="569"/>
      <c r="J126" s="572"/>
    </row>
    <row r="127" spans="1:10" ht="16.5">
      <c r="A127" s="1757"/>
      <c r="B127" s="1761" t="s">
        <v>1131</v>
      </c>
      <c r="C127" s="1179"/>
      <c r="D127" s="1749" t="s">
        <v>1117</v>
      </c>
      <c r="E127" s="1749"/>
      <c r="F127" s="1749" t="s">
        <v>1117</v>
      </c>
      <c r="G127" s="1674"/>
      <c r="H127" s="1711">
        <v>7</v>
      </c>
      <c r="I127" s="569"/>
      <c r="J127" s="572"/>
    </row>
    <row r="128" spans="1:9" ht="16.5">
      <c r="A128" s="580">
        <v>22</v>
      </c>
      <c r="B128" s="581" t="s">
        <v>1058</v>
      </c>
      <c r="C128" s="1172"/>
      <c r="D128" s="1492"/>
      <c r="E128" s="1492"/>
      <c r="F128" s="1492"/>
      <c r="G128" s="1674"/>
      <c r="H128" s="1492"/>
      <c r="I128" s="1492"/>
    </row>
    <row r="129" spans="1:10" ht="33">
      <c r="A129" s="951"/>
      <c r="B129" s="927" t="s">
        <v>1059</v>
      </c>
      <c r="C129" s="1179" t="s">
        <v>6</v>
      </c>
      <c r="D129" s="1492">
        <v>90</v>
      </c>
      <c r="E129" s="1492">
        <v>90</v>
      </c>
      <c r="F129" s="1492">
        <v>90</v>
      </c>
      <c r="G129" s="1674">
        <f t="shared" si="2"/>
        <v>100</v>
      </c>
      <c r="H129" s="1492">
        <v>90</v>
      </c>
      <c r="I129" s="1675"/>
      <c r="J129" s="1762">
        <f>SUM(G129:G131)/3</f>
        <v>100</v>
      </c>
    </row>
    <row r="130" spans="1:9" ht="33">
      <c r="A130" s="951"/>
      <c r="B130" s="927" t="s">
        <v>1087</v>
      </c>
      <c r="C130" s="1179" t="s">
        <v>6</v>
      </c>
      <c r="D130" s="1492">
        <v>100</v>
      </c>
      <c r="E130" s="1492">
        <v>100</v>
      </c>
      <c r="F130" s="1492">
        <v>100</v>
      </c>
      <c r="G130" s="1674">
        <f t="shared" si="2"/>
        <v>100</v>
      </c>
      <c r="H130" s="1492">
        <v>100</v>
      </c>
      <c r="I130" s="569"/>
    </row>
    <row r="131" spans="1:9" ht="33">
      <c r="A131" s="951"/>
      <c r="B131" s="927" t="s">
        <v>1082</v>
      </c>
      <c r="C131" s="1179" t="s">
        <v>6</v>
      </c>
      <c r="D131" s="1492">
        <v>100</v>
      </c>
      <c r="E131" s="1492">
        <v>100</v>
      </c>
      <c r="F131" s="1492">
        <v>100</v>
      </c>
      <c r="G131" s="1674">
        <f t="shared" si="2"/>
        <v>100</v>
      </c>
      <c r="H131" s="1492">
        <v>100</v>
      </c>
      <c r="I131" s="569"/>
    </row>
    <row r="132" ht="21.75" customHeight="1"/>
    <row r="133" ht="21.75" customHeight="1"/>
    <row r="134" ht="21.75" customHeight="1"/>
    <row r="135" ht="21.75" customHeight="1"/>
    <row r="136" ht="21.75" customHeight="1"/>
    <row r="137" spans="2:10" s="1667" customFormat="1" ht="21" customHeight="1">
      <c r="B137" s="572"/>
      <c r="D137" s="1668"/>
      <c r="E137" s="1668"/>
      <c r="F137" s="1668"/>
      <c r="G137" s="1668"/>
      <c r="H137" s="1668"/>
      <c r="J137" s="1763"/>
    </row>
    <row r="138" spans="2:10" s="1667" customFormat="1" ht="21" customHeight="1">
      <c r="B138" s="572"/>
      <c r="D138" s="1668"/>
      <c r="E138" s="1668"/>
      <c r="F138" s="1668"/>
      <c r="G138" s="1668"/>
      <c r="H138" s="1668"/>
      <c r="J138" s="1763"/>
    </row>
    <row r="139" spans="2:10" s="1667" customFormat="1" ht="21" customHeight="1">
      <c r="B139" s="572"/>
      <c r="D139" s="1668"/>
      <c r="E139" s="1668"/>
      <c r="F139" s="1668"/>
      <c r="G139" s="1668"/>
      <c r="H139" s="1668"/>
      <c r="J139" s="1763"/>
    </row>
    <row r="140" spans="2:10" s="1667" customFormat="1" ht="21" customHeight="1">
      <c r="B140" s="572"/>
      <c r="D140" s="1668"/>
      <c r="E140" s="1668"/>
      <c r="F140" s="1668"/>
      <c r="G140" s="1668"/>
      <c r="H140" s="1668"/>
      <c r="J140" s="1763"/>
    </row>
    <row r="141" spans="2:10" s="1667" customFormat="1" ht="21" customHeight="1">
      <c r="B141" s="572"/>
      <c r="D141" s="1668"/>
      <c r="E141" s="1668"/>
      <c r="F141" s="1668"/>
      <c r="G141" s="1668"/>
      <c r="H141" s="1668"/>
      <c r="J141" s="1763"/>
    </row>
    <row r="142" spans="2:10" s="1667" customFormat="1" ht="21" customHeight="1">
      <c r="B142" s="572"/>
      <c r="D142" s="1668"/>
      <c r="E142" s="1668"/>
      <c r="F142" s="1668"/>
      <c r="G142" s="1668"/>
      <c r="H142" s="1668"/>
      <c r="J142" s="1763"/>
    </row>
    <row r="143" spans="2:10" s="1667" customFormat="1" ht="21" customHeight="1">
      <c r="B143" s="572"/>
      <c r="D143" s="1668"/>
      <c r="E143" s="1668"/>
      <c r="F143" s="1668"/>
      <c r="G143" s="1668"/>
      <c r="H143" s="1668"/>
      <c r="J143" s="1763"/>
    </row>
    <row r="144" spans="2:10" s="1667" customFormat="1" ht="21" customHeight="1">
      <c r="B144" s="572"/>
      <c r="D144" s="1668"/>
      <c r="E144" s="1668"/>
      <c r="F144" s="1668"/>
      <c r="G144" s="1668"/>
      <c r="H144" s="1668"/>
      <c r="J144" s="1763"/>
    </row>
    <row r="145" spans="2:10" s="1667" customFormat="1" ht="21" customHeight="1">
      <c r="B145" s="572"/>
      <c r="D145" s="1668"/>
      <c r="E145" s="1668"/>
      <c r="F145" s="1668"/>
      <c r="G145" s="1668"/>
      <c r="H145" s="1668"/>
      <c r="J145" s="1763"/>
    </row>
    <row r="146" spans="2:10" s="1667" customFormat="1" ht="21" customHeight="1">
      <c r="B146" s="572"/>
      <c r="D146" s="1668"/>
      <c r="E146" s="1668"/>
      <c r="F146" s="1668"/>
      <c r="G146" s="1668"/>
      <c r="H146" s="1668"/>
      <c r="J146" s="1763"/>
    </row>
    <row r="147" spans="2:10" s="1667" customFormat="1" ht="21" customHeight="1">
      <c r="B147" s="572"/>
      <c r="D147" s="1668"/>
      <c r="E147" s="1668"/>
      <c r="F147" s="1668"/>
      <c r="G147" s="1668"/>
      <c r="H147" s="1668"/>
      <c r="J147" s="1763"/>
    </row>
    <row r="148" spans="2:10" s="1667" customFormat="1" ht="21" customHeight="1">
      <c r="B148" s="572"/>
      <c r="D148" s="1668"/>
      <c r="E148" s="1668"/>
      <c r="F148" s="1668"/>
      <c r="G148" s="1668"/>
      <c r="H148" s="1668"/>
      <c r="J148" s="1763"/>
    </row>
    <row r="149" spans="2:10" s="1667" customFormat="1" ht="21" customHeight="1">
      <c r="B149" s="572"/>
      <c r="D149" s="1668"/>
      <c r="E149" s="1668"/>
      <c r="F149" s="1668"/>
      <c r="G149" s="1668"/>
      <c r="H149" s="1668"/>
      <c r="J149" s="1763"/>
    </row>
    <row r="150" spans="2:10" s="1667" customFormat="1" ht="21" customHeight="1">
      <c r="B150" s="572"/>
      <c r="D150" s="1668"/>
      <c r="E150" s="1668"/>
      <c r="F150" s="1668"/>
      <c r="G150" s="1668"/>
      <c r="H150" s="1668"/>
      <c r="J150" s="1763"/>
    </row>
    <row r="151" spans="2:10" s="1667" customFormat="1" ht="21" customHeight="1">
      <c r="B151" s="572"/>
      <c r="D151" s="1668"/>
      <c r="E151" s="1668"/>
      <c r="F151" s="1668"/>
      <c r="G151" s="1668"/>
      <c r="H151" s="1668"/>
      <c r="J151" s="1763"/>
    </row>
    <row r="152" spans="2:10" s="1667" customFormat="1" ht="21" customHeight="1">
      <c r="B152" s="572"/>
      <c r="D152" s="1668"/>
      <c r="E152" s="1668"/>
      <c r="F152" s="1668"/>
      <c r="G152" s="1668"/>
      <c r="H152" s="1668"/>
      <c r="J152" s="1763"/>
    </row>
    <row r="153" spans="2:10" s="1667" customFormat="1" ht="21" customHeight="1">
      <c r="B153" s="572"/>
      <c r="D153" s="1668"/>
      <c r="E153" s="1668"/>
      <c r="F153" s="1668"/>
      <c r="G153" s="1668"/>
      <c r="H153" s="1668"/>
      <c r="J153" s="1763"/>
    </row>
    <row r="154" spans="2:10" s="1667" customFormat="1" ht="21" customHeight="1">
      <c r="B154" s="572"/>
      <c r="D154" s="1668"/>
      <c r="E154" s="1668"/>
      <c r="F154" s="1668"/>
      <c r="G154" s="1668"/>
      <c r="H154" s="1668"/>
      <c r="J154" s="1763"/>
    </row>
    <row r="155" spans="2:10" s="1667" customFormat="1" ht="21" customHeight="1">
      <c r="B155" s="572"/>
      <c r="D155" s="1668"/>
      <c r="E155" s="1668"/>
      <c r="F155" s="1668"/>
      <c r="G155" s="1668"/>
      <c r="H155" s="1668"/>
      <c r="J155" s="1763"/>
    </row>
    <row r="156" spans="2:10" s="1667" customFormat="1" ht="21" customHeight="1">
      <c r="B156" s="572"/>
      <c r="D156" s="1668"/>
      <c r="E156" s="1668"/>
      <c r="F156" s="1668"/>
      <c r="G156" s="1668"/>
      <c r="H156" s="1668"/>
      <c r="J156" s="1763"/>
    </row>
    <row r="157" spans="2:10" s="1667" customFormat="1" ht="21" customHeight="1">
      <c r="B157" s="572"/>
      <c r="D157" s="1668"/>
      <c r="E157" s="1668"/>
      <c r="F157" s="1668"/>
      <c r="G157" s="1668"/>
      <c r="H157" s="1668"/>
      <c r="J157" s="1763"/>
    </row>
    <row r="158" spans="2:10" s="1667" customFormat="1" ht="21" customHeight="1">
      <c r="B158" s="572"/>
      <c r="D158" s="1668"/>
      <c r="E158" s="1668"/>
      <c r="F158" s="1668"/>
      <c r="G158" s="1668"/>
      <c r="H158" s="1668"/>
      <c r="J158" s="1763"/>
    </row>
    <row r="159" spans="2:10" s="1667" customFormat="1" ht="21" customHeight="1">
      <c r="B159" s="572"/>
      <c r="D159" s="1668"/>
      <c r="E159" s="1668"/>
      <c r="F159" s="1668"/>
      <c r="G159" s="1668"/>
      <c r="H159" s="1668"/>
      <c r="J159" s="1763"/>
    </row>
    <row r="160" spans="2:10" s="1667" customFormat="1" ht="21" customHeight="1">
      <c r="B160" s="572"/>
      <c r="D160" s="1668"/>
      <c r="E160" s="1668"/>
      <c r="F160" s="1668"/>
      <c r="G160" s="1668"/>
      <c r="H160" s="1668"/>
      <c r="J160" s="1763"/>
    </row>
    <row r="161" spans="2:10" s="1667" customFormat="1" ht="21" customHeight="1">
      <c r="B161" s="572"/>
      <c r="D161" s="1668"/>
      <c r="E161" s="1668"/>
      <c r="F161" s="1668"/>
      <c r="G161" s="1668"/>
      <c r="H161" s="1668"/>
      <c r="J161" s="1763"/>
    </row>
    <row r="162" spans="2:10" s="1667" customFormat="1" ht="21" customHeight="1">
      <c r="B162" s="572"/>
      <c r="D162" s="1668"/>
      <c r="E162" s="1668"/>
      <c r="F162" s="1668"/>
      <c r="G162" s="1668"/>
      <c r="H162" s="1668"/>
      <c r="J162" s="1763"/>
    </row>
    <row r="163" spans="2:10" s="1667" customFormat="1" ht="21" customHeight="1">
      <c r="B163" s="572"/>
      <c r="D163" s="1668"/>
      <c r="E163" s="1668"/>
      <c r="F163" s="1668"/>
      <c r="G163" s="1668"/>
      <c r="H163" s="1668"/>
      <c r="J163" s="1763"/>
    </row>
    <row r="164" spans="2:10" s="1667" customFormat="1" ht="21" customHeight="1">
      <c r="B164" s="572"/>
      <c r="D164" s="1668"/>
      <c r="E164" s="1668"/>
      <c r="F164" s="1668"/>
      <c r="G164" s="1668"/>
      <c r="H164" s="1668"/>
      <c r="J164" s="1763"/>
    </row>
    <row r="165" spans="2:10" s="1667" customFormat="1" ht="21" customHeight="1">
      <c r="B165" s="572"/>
      <c r="D165" s="1668"/>
      <c r="E165" s="1668"/>
      <c r="F165" s="1668"/>
      <c r="G165" s="1668"/>
      <c r="H165" s="1668"/>
      <c r="J165" s="1763"/>
    </row>
    <row r="166" spans="2:10" s="1667" customFormat="1" ht="21" customHeight="1">
      <c r="B166" s="572"/>
      <c r="D166" s="1668"/>
      <c r="E166" s="1668"/>
      <c r="F166" s="1668"/>
      <c r="G166" s="1668"/>
      <c r="H166" s="1668"/>
      <c r="J166" s="1763"/>
    </row>
    <row r="167" spans="2:10" s="1667" customFormat="1" ht="21" customHeight="1">
      <c r="B167" s="572"/>
      <c r="D167" s="1668"/>
      <c r="E167" s="1668"/>
      <c r="F167" s="1668"/>
      <c r="G167" s="1668"/>
      <c r="H167" s="1668"/>
      <c r="J167" s="1763"/>
    </row>
    <row r="168" spans="2:10" s="1667" customFormat="1" ht="21" customHeight="1">
      <c r="B168" s="572"/>
      <c r="D168" s="1668"/>
      <c r="E168" s="1668"/>
      <c r="F168" s="1668"/>
      <c r="G168" s="1668"/>
      <c r="H168" s="1668"/>
      <c r="J168" s="1763"/>
    </row>
    <row r="169" spans="2:10" s="1667" customFormat="1" ht="21" customHeight="1">
      <c r="B169" s="572"/>
      <c r="D169" s="1668"/>
      <c r="E169" s="1668"/>
      <c r="F169" s="1668"/>
      <c r="G169" s="1668"/>
      <c r="H169" s="1668"/>
      <c r="J169" s="1763"/>
    </row>
    <row r="170" spans="2:10" s="1667" customFormat="1" ht="21" customHeight="1">
      <c r="B170" s="572"/>
      <c r="D170" s="1668"/>
      <c r="E170" s="1668"/>
      <c r="F170" s="1668"/>
      <c r="G170" s="1668"/>
      <c r="H170" s="1668"/>
      <c r="J170" s="1763"/>
    </row>
    <row r="171" spans="2:10" s="1667" customFormat="1" ht="21" customHeight="1">
      <c r="B171" s="572"/>
      <c r="D171" s="1668"/>
      <c r="E171" s="1668"/>
      <c r="F171" s="1668"/>
      <c r="G171" s="1668"/>
      <c r="H171" s="1668"/>
      <c r="J171" s="1763"/>
    </row>
    <row r="172" spans="2:10" s="1667" customFormat="1" ht="21" customHeight="1">
      <c r="B172" s="572"/>
      <c r="D172" s="1668"/>
      <c r="E172" s="1668"/>
      <c r="F172" s="1668"/>
      <c r="G172" s="1668"/>
      <c r="H172" s="1668"/>
      <c r="J172" s="1763"/>
    </row>
    <row r="173" spans="2:10" s="1667" customFormat="1" ht="21" customHeight="1">
      <c r="B173" s="572"/>
      <c r="D173" s="1668"/>
      <c r="E173" s="1668"/>
      <c r="F173" s="1668"/>
      <c r="G173" s="1668"/>
      <c r="H173" s="1668"/>
      <c r="J173" s="1763"/>
    </row>
    <row r="174" spans="2:10" s="1667" customFormat="1" ht="21" customHeight="1">
      <c r="B174" s="572"/>
      <c r="D174" s="1668"/>
      <c r="E174" s="1668"/>
      <c r="F174" s="1668"/>
      <c r="G174" s="1668"/>
      <c r="H174" s="1668"/>
      <c r="J174" s="1763"/>
    </row>
    <row r="175" spans="2:10" s="1667" customFormat="1" ht="21" customHeight="1">
      <c r="B175" s="572"/>
      <c r="D175" s="1668"/>
      <c r="E175" s="1668"/>
      <c r="F175" s="1668"/>
      <c r="G175" s="1668"/>
      <c r="H175" s="1668"/>
      <c r="J175" s="1763"/>
    </row>
    <row r="176" spans="2:10" s="1667" customFormat="1" ht="21" customHeight="1">
      <c r="B176" s="572"/>
      <c r="D176" s="1668"/>
      <c r="E176" s="1668"/>
      <c r="F176" s="1668"/>
      <c r="G176" s="1668"/>
      <c r="H176" s="1668"/>
      <c r="J176" s="1763"/>
    </row>
    <row r="177" spans="2:10" s="1667" customFormat="1" ht="21" customHeight="1">
      <c r="B177" s="572"/>
      <c r="D177" s="1668"/>
      <c r="E177" s="1668"/>
      <c r="F177" s="1668"/>
      <c r="G177" s="1668"/>
      <c r="H177" s="1668"/>
      <c r="J177" s="1763"/>
    </row>
    <row r="178" spans="2:10" s="1667" customFormat="1" ht="21" customHeight="1">
      <c r="B178" s="572"/>
      <c r="D178" s="1668"/>
      <c r="E178" s="1668"/>
      <c r="F178" s="1668"/>
      <c r="G178" s="1668"/>
      <c r="H178" s="1668"/>
      <c r="J178" s="1763"/>
    </row>
    <row r="179" spans="2:10" s="1667" customFormat="1" ht="21" customHeight="1">
      <c r="B179" s="572"/>
      <c r="D179" s="1668"/>
      <c r="E179" s="1668"/>
      <c r="F179" s="1668"/>
      <c r="G179" s="1668"/>
      <c r="H179" s="1668"/>
      <c r="J179" s="1763"/>
    </row>
    <row r="180" spans="2:10" s="1667" customFormat="1" ht="21" customHeight="1">
      <c r="B180" s="572"/>
      <c r="D180" s="1668"/>
      <c r="E180" s="1668"/>
      <c r="F180" s="1668"/>
      <c r="G180" s="1668"/>
      <c r="H180" s="1668"/>
      <c r="J180" s="1763"/>
    </row>
    <row r="181" spans="2:10" s="1667" customFormat="1" ht="21" customHeight="1">
      <c r="B181" s="572"/>
      <c r="D181" s="1668"/>
      <c r="E181" s="1668"/>
      <c r="F181" s="1668"/>
      <c r="G181" s="1668"/>
      <c r="H181" s="1668"/>
      <c r="J181" s="1763"/>
    </row>
    <row r="182" spans="2:10" s="1667" customFormat="1" ht="21" customHeight="1">
      <c r="B182" s="572"/>
      <c r="D182" s="1668"/>
      <c r="E182" s="1668"/>
      <c r="F182" s="1668"/>
      <c r="G182" s="1668"/>
      <c r="H182" s="1668"/>
      <c r="J182" s="1763"/>
    </row>
  </sheetData>
  <sheetProtection/>
  <mergeCells count="21">
    <mergeCell ref="A14:I14"/>
    <mergeCell ref="B16:B17"/>
    <mergeCell ref="A7:I7"/>
    <mergeCell ref="A16:A17"/>
    <mergeCell ref="B2:C2"/>
    <mergeCell ref="A3:C3"/>
    <mergeCell ref="A4:I4"/>
    <mergeCell ref="A5:I5"/>
    <mergeCell ref="A6:I6"/>
    <mergeCell ref="I16:I17"/>
    <mergeCell ref="A8:I8"/>
    <mergeCell ref="A9:I9"/>
    <mergeCell ref="C16:C17"/>
    <mergeCell ref="X60:X61"/>
    <mergeCell ref="A10:I10"/>
    <mergeCell ref="A12:I12"/>
    <mergeCell ref="H16:H17"/>
    <mergeCell ref="D16:D17"/>
    <mergeCell ref="A11:I11"/>
    <mergeCell ref="E16:G16"/>
    <mergeCell ref="A13:I13"/>
  </mergeCells>
  <printOptions/>
  <pageMargins left="0.433070866141732" right="0.196850393700787" top="0.47" bottom="0.748031496062992" header="0.31496062992126" footer="0.31496062992126"/>
  <pageSetup horizontalDpi="600" verticalDpi="600" orientation="landscape" paperSize="9" r:id="rId3"/>
  <headerFooter differentFirst="1">
    <oddHeader>&amp;C&amp;P</oddHeader>
  </headerFooter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182"/>
  <sheetViews>
    <sheetView zoomScalePageLayoutView="0" workbookViewId="0" topLeftCell="A8">
      <selection activeCell="Y22" sqref="Y22"/>
    </sheetView>
  </sheetViews>
  <sheetFormatPr defaultColWidth="7.8515625" defaultRowHeight="12.75"/>
  <cols>
    <col min="1" max="1" width="5.421875" style="1341" customWidth="1"/>
    <col min="2" max="2" width="49.00390625" style="559" customWidth="1"/>
    <col min="3" max="3" width="11.57421875" style="1341" customWidth="1"/>
    <col min="4" max="4" width="12.28125" style="1443" customWidth="1"/>
    <col min="5" max="5" width="11.421875" style="1443" customWidth="1"/>
    <col min="6" max="6" width="12.7109375" style="1443" customWidth="1"/>
    <col min="7" max="7" width="11.140625" style="1443" customWidth="1"/>
    <col min="8" max="8" width="11.7109375" style="1443" customWidth="1"/>
    <col min="9" max="9" width="16.28125" style="1341" customWidth="1"/>
    <col min="10" max="10" width="15.57421875" style="565" hidden="1" customWidth="1"/>
    <col min="11" max="11" width="11.421875" style="559" hidden="1" customWidth="1"/>
    <col min="12" max="21" width="7.8515625" style="559" hidden="1" customWidth="1"/>
    <col min="22" max="16384" width="7.8515625" style="559" customWidth="1"/>
  </cols>
  <sheetData>
    <row r="1" spans="2:10" s="397" customFormat="1" ht="22.5" customHeight="1" hidden="1">
      <c r="B1" s="395"/>
      <c r="C1" s="396"/>
      <c r="D1" s="411"/>
      <c r="E1" s="411"/>
      <c r="F1" s="411"/>
      <c r="G1" s="411"/>
      <c r="H1" s="411"/>
      <c r="I1" s="396"/>
      <c r="J1" s="1451"/>
    </row>
    <row r="2" spans="2:10" s="397" customFormat="1" ht="12.75" customHeight="1" hidden="1">
      <c r="B2" s="1889" t="s">
        <v>476</v>
      </c>
      <c r="C2" s="1889"/>
      <c r="D2" s="1600"/>
      <c r="E2" s="1600"/>
      <c r="F2" s="1600"/>
      <c r="G2" s="1600"/>
      <c r="H2" s="1600"/>
      <c r="J2" s="1451"/>
    </row>
    <row r="3" spans="1:10" s="397" customFormat="1" ht="22.5" customHeight="1" hidden="1">
      <c r="A3" s="1765" t="s">
        <v>759</v>
      </c>
      <c r="B3" s="1765"/>
      <c r="C3" s="1765"/>
      <c r="D3" s="1442"/>
      <c r="E3" s="1442"/>
      <c r="F3" s="1442"/>
      <c r="G3" s="1442"/>
      <c r="H3" s="1442"/>
      <c r="I3" s="1276"/>
      <c r="J3" s="1451"/>
    </row>
    <row r="4" spans="1:10" s="397" customFormat="1" ht="22.5" customHeight="1" hidden="1">
      <c r="A4" s="1765" t="s">
        <v>1044</v>
      </c>
      <c r="B4" s="1765"/>
      <c r="C4" s="1765"/>
      <c r="D4" s="1765"/>
      <c r="E4" s="1765"/>
      <c r="F4" s="1765"/>
      <c r="G4" s="1765"/>
      <c r="H4" s="1765"/>
      <c r="I4" s="1765"/>
      <c r="J4" s="1451"/>
    </row>
    <row r="5" spans="1:9" ht="15" customHeight="1" hidden="1">
      <c r="A5" s="1890" t="s">
        <v>1064</v>
      </c>
      <c r="B5" s="1890"/>
      <c r="C5" s="1890"/>
      <c r="D5" s="1890"/>
      <c r="E5" s="1890"/>
      <c r="F5" s="1890"/>
      <c r="G5" s="1890"/>
      <c r="H5" s="1890"/>
      <c r="I5" s="1890"/>
    </row>
    <row r="6" spans="1:9" ht="16.5" hidden="1">
      <c r="A6" s="1891" t="s">
        <v>1041</v>
      </c>
      <c r="B6" s="1891"/>
      <c r="C6" s="1891"/>
      <c r="D6" s="1891"/>
      <c r="E6" s="1891"/>
      <c r="F6" s="1891"/>
      <c r="G6" s="1891"/>
      <c r="H6" s="1891"/>
      <c r="I6" s="1891"/>
    </row>
    <row r="7" spans="1:9" ht="18.75" customHeight="1" hidden="1">
      <c r="A7" s="1890" t="s">
        <v>1044</v>
      </c>
      <c r="B7" s="1890"/>
      <c r="C7" s="1890"/>
      <c r="D7" s="1890"/>
      <c r="E7" s="1890"/>
      <c r="F7" s="1890"/>
      <c r="G7" s="1890"/>
      <c r="H7" s="1890"/>
      <c r="I7" s="1890"/>
    </row>
    <row r="8" spans="1:9" ht="27.75" customHeight="1">
      <c r="A8" s="1800" t="s">
        <v>1129</v>
      </c>
      <c r="B8" s="1800"/>
      <c r="C8" s="1800"/>
      <c r="D8" s="1800"/>
      <c r="E8" s="1800"/>
      <c r="F8" s="1800"/>
      <c r="G8" s="1800"/>
      <c r="H8" s="1800"/>
      <c r="I8" s="1800"/>
    </row>
    <row r="9" spans="1:9" ht="36.75" customHeight="1" hidden="1">
      <c r="A9" s="1800" t="s">
        <v>1098</v>
      </c>
      <c r="B9" s="1800"/>
      <c r="C9" s="1800"/>
      <c r="D9" s="1800"/>
      <c r="E9" s="1800"/>
      <c r="F9" s="1800"/>
      <c r="G9" s="1800"/>
      <c r="H9" s="1800"/>
      <c r="I9" s="1800"/>
    </row>
    <row r="10" spans="1:9" ht="16.5" hidden="1">
      <c r="A10" s="1891" t="s">
        <v>1100</v>
      </c>
      <c r="B10" s="1891"/>
      <c r="C10" s="1891"/>
      <c r="D10" s="1891"/>
      <c r="E10" s="1891"/>
      <c r="F10" s="1891"/>
      <c r="G10" s="1891"/>
      <c r="H10" s="1891"/>
      <c r="I10" s="1891"/>
    </row>
    <row r="11" spans="1:9" ht="16.5" hidden="1">
      <c r="A11" s="1891" t="s">
        <v>1097</v>
      </c>
      <c r="B11" s="1891"/>
      <c r="C11" s="1891"/>
      <c r="D11" s="1891"/>
      <c r="E11" s="1891"/>
      <c r="F11" s="1891"/>
      <c r="G11" s="1891"/>
      <c r="H11" s="1891"/>
      <c r="I11" s="1891"/>
    </row>
    <row r="12" spans="1:9" ht="16.5" hidden="1">
      <c r="A12" s="1891" t="s">
        <v>1088</v>
      </c>
      <c r="B12" s="1891"/>
      <c r="C12" s="1891"/>
      <c r="D12" s="1891"/>
      <c r="E12" s="1891"/>
      <c r="F12" s="1891"/>
      <c r="G12" s="1891"/>
      <c r="H12" s="1891"/>
      <c r="I12" s="1891"/>
    </row>
    <row r="13" spans="1:9" ht="16.5" hidden="1">
      <c r="A13" s="1891" t="s">
        <v>1089</v>
      </c>
      <c r="B13" s="1891"/>
      <c r="C13" s="1891"/>
      <c r="D13" s="1891"/>
      <c r="E13" s="1891"/>
      <c r="F13" s="1891"/>
      <c r="G13" s="1891"/>
      <c r="H13" s="1891"/>
      <c r="I13" s="1891"/>
    </row>
    <row r="14" spans="1:9" ht="16.5">
      <c r="A14" s="1891" t="s">
        <v>1128</v>
      </c>
      <c r="B14" s="1891"/>
      <c r="C14" s="1891"/>
      <c r="D14" s="1891"/>
      <c r="E14" s="1891"/>
      <c r="F14" s="1891"/>
      <c r="G14" s="1891"/>
      <c r="H14" s="1891"/>
      <c r="I14" s="1891"/>
    </row>
    <row r="15" ht="25.5" customHeight="1"/>
    <row r="16" spans="1:9" s="565" customFormat="1" ht="20.25" customHeight="1">
      <c r="A16" s="1799" t="s">
        <v>0</v>
      </c>
      <c r="B16" s="1799" t="s">
        <v>211</v>
      </c>
      <c r="C16" s="1799" t="s">
        <v>104</v>
      </c>
      <c r="D16" s="1852" t="s">
        <v>1109</v>
      </c>
      <c r="E16" s="1894" t="s">
        <v>1101</v>
      </c>
      <c r="F16" s="1895"/>
      <c r="G16" s="1896"/>
      <c r="H16" s="1852" t="s">
        <v>1110</v>
      </c>
      <c r="I16" s="1852" t="s">
        <v>1086</v>
      </c>
    </row>
    <row r="17" spans="1:9" s="565" customFormat="1" ht="54.75" customHeight="1">
      <c r="A17" s="1892" t="s">
        <v>0</v>
      </c>
      <c r="B17" s="1892"/>
      <c r="C17" s="1893"/>
      <c r="D17" s="1853"/>
      <c r="E17" s="406" t="s">
        <v>1005</v>
      </c>
      <c r="F17" s="406" t="s">
        <v>1035</v>
      </c>
      <c r="G17" s="406" t="s">
        <v>1095</v>
      </c>
      <c r="H17" s="1853"/>
      <c r="I17" s="1853"/>
    </row>
    <row r="18" spans="1:9" s="565" customFormat="1" ht="16.5">
      <c r="A18" s="1445" t="s">
        <v>29</v>
      </c>
      <c r="B18" s="1446" t="s">
        <v>384</v>
      </c>
      <c r="C18" s="1338"/>
      <c r="D18" s="1447"/>
      <c r="E18" s="1447"/>
      <c r="F18" s="1447"/>
      <c r="G18" s="1447"/>
      <c r="H18" s="1447"/>
      <c r="I18" s="1338"/>
    </row>
    <row r="19" spans="1:9" s="1451" customFormat="1" ht="26.25" customHeight="1">
      <c r="A19" s="386">
        <v>1</v>
      </c>
      <c r="B19" s="1448" t="s">
        <v>385</v>
      </c>
      <c r="C19" s="1449" t="s">
        <v>293</v>
      </c>
      <c r="D19" s="1450">
        <f>D21+D22+D24</f>
        <v>10398</v>
      </c>
      <c r="E19" s="1450">
        <f>E21+E22+E24</f>
        <v>10779.3</v>
      </c>
      <c r="F19" s="1539">
        <f>F21+F22+F24</f>
        <v>11563</v>
      </c>
      <c r="G19" s="1450">
        <f>F19/E19*100</f>
        <v>107.27041644633697</v>
      </c>
      <c r="H19" s="1450">
        <f>SUM(H21+H22+H24)</f>
        <v>11981.3</v>
      </c>
      <c r="I19" s="1601"/>
    </row>
    <row r="20" spans="1:9" ht="16.5">
      <c r="A20" s="1452"/>
      <c r="B20" s="1453" t="s">
        <v>141</v>
      </c>
      <c r="C20" s="1344"/>
      <c r="D20" s="1523"/>
      <c r="E20" s="1523"/>
      <c r="F20" s="1523"/>
      <c r="G20" s="1450"/>
      <c r="H20" s="1523"/>
      <c r="I20" s="1344"/>
    </row>
    <row r="21" spans="1:10" s="397" customFormat="1" ht="16.5">
      <c r="A21" s="389"/>
      <c r="B21" s="1455" t="s">
        <v>386</v>
      </c>
      <c r="C21" s="1456" t="s">
        <v>293</v>
      </c>
      <c r="D21" s="1457">
        <v>5255</v>
      </c>
      <c r="E21" s="1458">
        <v>5231</v>
      </c>
      <c r="F21" s="1457">
        <v>5681</v>
      </c>
      <c r="G21" s="1621">
        <f aca="true" t="shared" si="0" ref="G21:G84">F21/E21*100</f>
        <v>108.60256165169184</v>
      </c>
      <c r="H21" s="1458">
        <v>5849</v>
      </c>
      <c r="I21" s="1602"/>
      <c r="J21" s="1451"/>
    </row>
    <row r="22" spans="1:10" s="397" customFormat="1" ht="16.5">
      <c r="A22" s="389"/>
      <c r="B22" s="1455" t="s">
        <v>387</v>
      </c>
      <c r="C22" s="1456" t="s">
        <v>293</v>
      </c>
      <c r="D22" s="1458">
        <v>2271</v>
      </c>
      <c r="E22" s="1458">
        <v>2563</v>
      </c>
      <c r="F22" s="1458">
        <f>F23+1232</f>
        <v>2727.2</v>
      </c>
      <c r="G22" s="1621">
        <f t="shared" si="0"/>
        <v>106.40655481857198</v>
      </c>
      <c r="H22" s="1458">
        <f>1625+1296</f>
        <v>2921</v>
      </c>
      <c r="I22" s="1602"/>
      <c r="J22" s="1451"/>
    </row>
    <row r="23" spans="1:10" s="397" customFormat="1" ht="18.75">
      <c r="A23" s="389"/>
      <c r="B23" s="1455" t="s">
        <v>388</v>
      </c>
      <c r="C23" s="1456" t="s">
        <v>293</v>
      </c>
      <c r="D23" s="1458">
        <v>1125</v>
      </c>
      <c r="E23" s="1458">
        <v>1438</v>
      </c>
      <c r="F23" s="1627">
        <v>1495.2</v>
      </c>
      <c r="G23" s="1621">
        <f t="shared" si="0"/>
        <v>103.97774687065369</v>
      </c>
      <c r="H23" s="1458">
        <v>1625</v>
      </c>
      <c r="I23" s="1602"/>
      <c r="J23" s="1451"/>
    </row>
    <row r="24" spans="1:10" s="397" customFormat="1" ht="16.5">
      <c r="A24" s="389"/>
      <c r="B24" s="1455" t="s">
        <v>389</v>
      </c>
      <c r="C24" s="1456" t="s">
        <v>293</v>
      </c>
      <c r="D24" s="1458">
        <v>2872</v>
      </c>
      <c r="E24" s="1457">
        <v>2985.3</v>
      </c>
      <c r="F24" s="1458">
        <v>3154.8</v>
      </c>
      <c r="G24" s="1621">
        <f t="shared" si="0"/>
        <v>105.67782132449</v>
      </c>
      <c r="H24" s="1457">
        <f>3051.3+160</f>
        <v>3211.3</v>
      </c>
      <c r="I24" s="1602"/>
      <c r="J24" s="1451"/>
    </row>
    <row r="25" spans="1:9" s="1610" customFormat="1" ht="17.25">
      <c r="A25" s="1605"/>
      <c r="B25" s="1606" t="s">
        <v>1065</v>
      </c>
      <c r="C25" s="1607"/>
      <c r="D25" s="1608"/>
      <c r="E25" s="1608"/>
      <c r="F25" s="1608"/>
      <c r="G25" s="1621"/>
      <c r="H25" s="1608"/>
      <c r="I25" s="1609"/>
    </row>
    <row r="26" spans="1:10" s="397" customFormat="1" ht="16.5">
      <c r="A26" s="389"/>
      <c r="B26" s="1455" t="s">
        <v>386</v>
      </c>
      <c r="C26" s="1456" t="s">
        <v>6</v>
      </c>
      <c r="D26" s="1459">
        <f>D21/D19*100</f>
        <v>50.538565108674746</v>
      </c>
      <c r="E26" s="1459">
        <f>E21/E19*100</f>
        <v>48.52819756384923</v>
      </c>
      <c r="F26" s="1459">
        <f>F21/F19*100</f>
        <v>49.13084839574505</v>
      </c>
      <c r="G26" s="1621">
        <f t="shared" si="0"/>
        <v>101.24185702776802</v>
      </c>
      <c r="H26" s="1459">
        <f>H21/H19*100</f>
        <v>48.817740979693355</v>
      </c>
      <c r="I26" s="1603"/>
      <c r="J26" s="1451"/>
    </row>
    <row r="27" spans="1:10" s="397" customFormat="1" ht="16.5">
      <c r="A27" s="389"/>
      <c r="B27" s="1455" t="s">
        <v>387</v>
      </c>
      <c r="C27" s="1456" t="s">
        <v>6</v>
      </c>
      <c r="D27" s="1459">
        <f>D22/D19*100</f>
        <v>21.840738603577613</v>
      </c>
      <c r="E27" s="1459">
        <f>E22/E19*100</f>
        <v>23.77705416863804</v>
      </c>
      <c r="F27" s="1459">
        <f>F22/F19*100</f>
        <v>23.585574677851767</v>
      </c>
      <c r="G27" s="1621">
        <f t="shared" si="0"/>
        <v>99.1946879145406</v>
      </c>
      <c r="H27" s="1459">
        <f>H22/H19*100</f>
        <v>24.379658300852164</v>
      </c>
      <c r="I27" s="1603"/>
      <c r="J27" s="1451"/>
    </row>
    <row r="28" spans="1:10" s="397" customFormat="1" ht="16.5">
      <c r="A28" s="389"/>
      <c r="B28" s="1455" t="s">
        <v>389</v>
      </c>
      <c r="C28" s="1456" t="s">
        <v>6</v>
      </c>
      <c r="D28" s="1459">
        <f>D24/D19*100</f>
        <v>27.62069628774764</v>
      </c>
      <c r="E28" s="1459">
        <f>E24/E19*100</f>
        <v>27.694748267512736</v>
      </c>
      <c r="F28" s="1459">
        <f>F24/F19*100</f>
        <v>27.283576926403185</v>
      </c>
      <c r="G28" s="1621">
        <f t="shared" si="0"/>
        <v>98.51534544694933</v>
      </c>
      <c r="H28" s="1459">
        <f>H24/H19*100</f>
        <v>26.80260071945449</v>
      </c>
      <c r="I28" s="1603"/>
      <c r="J28" s="1451"/>
    </row>
    <row r="29" spans="1:9" ht="16.5" hidden="1">
      <c r="A29" s="386">
        <v>3</v>
      </c>
      <c r="B29" s="387" t="s">
        <v>773</v>
      </c>
      <c r="C29" s="1348"/>
      <c r="D29" s="1460"/>
      <c r="E29" s="1457">
        <f aca="true" t="shared" si="1" ref="E29:E39">E24/E22*100</f>
        <v>116.47678501755756</v>
      </c>
      <c r="F29" s="1460"/>
      <c r="G29" s="1450">
        <f t="shared" si="0"/>
        <v>0</v>
      </c>
      <c r="H29" s="1457"/>
      <c r="I29" s="1454"/>
    </row>
    <row r="30" spans="1:9" ht="16.5" hidden="1">
      <c r="A30" s="386"/>
      <c r="B30" s="390" t="s">
        <v>136</v>
      </c>
      <c r="C30" s="1350"/>
      <c r="D30" s="1460"/>
      <c r="E30" s="1457">
        <f t="shared" si="1"/>
        <v>0</v>
      </c>
      <c r="F30" s="1460"/>
      <c r="G30" s="1450" t="e">
        <f t="shared" si="0"/>
        <v>#DIV/0!</v>
      </c>
      <c r="H30" s="1457"/>
      <c r="I30" s="1454"/>
    </row>
    <row r="31" spans="1:9" ht="16.5" hidden="1">
      <c r="A31" s="386"/>
      <c r="B31" s="392" t="s">
        <v>761</v>
      </c>
      <c r="C31" s="1350" t="s">
        <v>213</v>
      </c>
      <c r="D31" s="1460"/>
      <c r="E31" s="1457">
        <f t="shared" si="1"/>
        <v>1.625571887711427</v>
      </c>
      <c r="F31" s="1460"/>
      <c r="G31" s="1450">
        <f t="shared" si="0"/>
        <v>0</v>
      </c>
      <c r="H31" s="1457"/>
      <c r="I31" s="1454"/>
    </row>
    <row r="32" spans="1:9" ht="16.5" hidden="1">
      <c r="A32" s="386"/>
      <c r="B32" s="392" t="s">
        <v>762</v>
      </c>
      <c r="C32" s="1350" t="s">
        <v>213</v>
      </c>
      <c r="D32" s="1460"/>
      <c r="E32" s="1457" t="e">
        <f t="shared" si="1"/>
        <v>#DIV/0!</v>
      </c>
      <c r="F32" s="1460"/>
      <c r="G32" s="1450" t="e">
        <f t="shared" si="0"/>
        <v>#DIV/0!</v>
      </c>
      <c r="H32" s="1457"/>
      <c r="I32" s="1454"/>
    </row>
    <row r="33" spans="1:9" ht="16.5" hidden="1">
      <c r="A33" s="386"/>
      <c r="B33" s="392" t="s">
        <v>763</v>
      </c>
      <c r="C33" s="1350" t="s">
        <v>213</v>
      </c>
      <c r="D33" s="1460"/>
      <c r="E33" s="1457">
        <f t="shared" si="1"/>
        <v>57.069393997323644</v>
      </c>
      <c r="F33" s="1460"/>
      <c r="G33" s="1450">
        <f t="shared" si="0"/>
        <v>0</v>
      </c>
      <c r="H33" s="1457"/>
      <c r="I33" s="1454"/>
    </row>
    <row r="34" spans="1:9" ht="16.5" hidden="1">
      <c r="A34" s="386">
        <v>4</v>
      </c>
      <c r="B34" s="387" t="s">
        <v>764</v>
      </c>
      <c r="C34" s="1350"/>
      <c r="D34" s="1460"/>
      <c r="E34" s="1457">
        <f t="shared" si="1"/>
        <v>489.8705457431753</v>
      </c>
      <c r="F34" s="1460"/>
      <c r="G34" s="1450">
        <f t="shared" si="0"/>
        <v>0</v>
      </c>
      <c r="H34" s="1457"/>
      <c r="I34" s="1454"/>
    </row>
    <row r="35" spans="1:9" ht="16.5" hidden="1">
      <c r="A35" s="389"/>
      <c r="B35" s="392" t="s">
        <v>765</v>
      </c>
      <c r="C35" s="1350" t="s">
        <v>766</v>
      </c>
      <c r="D35" s="1460"/>
      <c r="E35" s="1457">
        <f t="shared" si="1"/>
        <v>0</v>
      </c>
      <c r="F35" s="1460"/>
      <c r="G35" s="1450" t="e">
        <f t="shared" si="0"/>
        <v>#DIV/0!</v>
      </c>
      <c r="H35" s="1457"/>
      <c r="I35" s="1454"/>
    </row>
    <row r="36" spans="1:9" ht="16.5" hidden="1">
      <c r="A36" s="389"/>
      <c r="B36" s="392" t="s">
        <v>767</v>
      </c>
      <c r="C36" s="1350" t="s">
        <v>768</v>
      </c>
      <c r="D36" s="1460"/>
      <c r="E36" s="1457">
        <f t="shared" si="1"/>
        <v>1.3956187814304717</v>
      </c>
      <c r="F36" s="1460"/>
      <c r="G36" s="1450">
        <f t="shared" si="0"/>
        <v>0</v>
      </c>
      <c r="H36" s="1457"/>
      <c r="I36" s="1454"/>
    </row>
    <row r="37" spans="1:9" ht="16.5" hidden="1">
      <c r="A37" s="389"/>
      <c r="B37" s="392" t="s">
        <v>769</v>
      </c>
      <c r="C37" s="1350" t="s">
        <v>770</v>
      </c>
      <c r="D37" s="1460"/>
      <c r="E37" s="1457" t="e">
        <f t="shared" si="1"/>
        <v>#DIV/0!</v>
      </c>
      <c r="F37" s="1460"/>
      <c r="G37" s="1450" t="e">
        <f t="shared" si="0"/>
        <v>#DIV/0!</v>
      </c>
      <c r="H37" s="1457"/>
      <c r="I37" s="1454"/>
    </row>
    <row r="38" spans="1:9" ht="16.5" hidden="1">
      <c r="A38" s="1452">
        <v>5</v>
      </c>
      <c r="B38" s="387" t="s">
        <v>771</v>
      </c>
      <c r="C38" s="1350" t="s">
        <v>213</v>
      </c>
      <c r="D38" s="1460"/>
      <c r="E38" s="1457">
        <f t="shared" si="1"/>
        <v>3510.727174155872</v>
      </c>
      <c r="F38" s="1460"/>
      <c r="G38" s="1450">
        <f t="shared" si="0"/>
        <v>0</v>
      </c>
      <c r="H38" s="1457"/>
      <c r="I38" s="1454"/>
    </row>
    <row r="39" spans="1:9" ht="33" hidden="1">
      <c r="A39" s="1452">
        <v>6</v>
      </c>
      <c r="B39" s="387" t="s">
        <v>772</v>
      </c>
      <c r="C39" s="1350" t="s">
        <v>213</v>
      </c>
      <c r="D39" s="1460"/>
      <c r="E39" s="1457" t="e">
        <f t="shared" si="1"/>
        <v>#DIV/0!</v>
      </c>
      <c r="F39" s="1460"/>
      <c r="G39" s="1450" t="e">
        <f t="shared" si="0"/>
        <v>#DIV/0!</v>
      </c>
      <c r="H39" s="1457"/>
      <c r="I39" s="1454"/>
    </row>
    <row r="40" spans="1:9" s="1451" customFormat="1" ht="49.5">
      <c r="A40" s="386">
        <v>2</v>
      </c>
      <c r="B40" s="384" t="s">
        <v>1066</v>
      </c>
      <c r="C40" s="1449" t="s">
        <v>293</v>
      </c>
      <c r="D40" s="1622">
        <v>2592</v>
      </c>
      <c r="E40" s="1622">
        <v>2825.3</v>
      </c>
      <c r="F40" s="1472">
        <v>2994.8</v>
      </c>
      <c r="G40" s="1450">
        <f t="shared" si="0"/>
        <v>105.9993628995151</v>
      </c>
      <c r="H40" s="1622">
        <v>3051.3</v>
      </c>
      <c r="I40" s="1602"/>
    </row>
    <row r="41" spans="1:10" s="397" customFormat="1" ht="16.5">
      <c r="A41" s="1445">
        <v>3</v>
      </c>
      <c r="B41" s="1446" t="s">
        <v>973</v>
      </c>
      <c r="C41" s="1338"/>
      <c r="D41" s="1463"/>
      <c r="E41" s="1463"/>
      <c r="F41" s="1463"/>
      <c r="G41" s="1450"/>
      <c r="H41" s="1463"/>
      <c r="I41" s="1628"/>
      <c r="J41" s="1451"/>
    </row>
    <row r="42" spans="1:10" s="397" customFormat="1" ht="16.5">
      <c r="A42" s="389"/>
      <c r="B42" s="1461" t="s">
        <v>974</v>
      </c>
      <c r="C42" s="1456" t="s">
        <v>413</v>
      </c>
      <c r="D42" s="1632">
        <v>62611</v>
      </c>
      <c r="E42" s="1632">
        <v>62251</v>
      </c>
      <c r="F42" s="1632">
        <v>62501</v>
      </c>
      <c r="G42" s="1621">
        <f t="shared" si="0"/>
        <v>100.40159997429761</v>
      </c>
      <c r="H42" s="1632">
        <v>62026</v>
      </c>
      <c r="I42" s="1602"/>
      <c r="J42" s="1451"/>
    </row>
    <row r="43" spans="1:10" s="397" customFormat="1" ht="16.5">
      <c r="A43" s="389"/>
      <c r="B43" s="1461" t="s">
        <v>977</v>
      </c>
      <c r="C43" s="1456" t="s">
        <v>298</v>
      </c>
      <c r="D43" s="1632">
        <v>86</v>
      </c>
      <c r="E43" s="1632">
        <v>87</v>
      </c>
      <c r="F43" s="1632">
        <v>87</v>
      </c>
      <c r="G43" s="1621">
        <f t="shared" si="0"/>
        <v>100</v>
      </c>
      <c r="H43" s="1632">
        <v>90</v>
      </c>
      <c r="I43" s="1602"/>
      <c r="J43" s="1451"/>
    </row>
    <row r="44" spans="1:10" s="397" customFormat="1" ht="16.5" hidden="1">
      <c r="A44" s="389"/>
      <c r="B44" s="1461" t="s">
        <v>978</v>
      </c>
      <c r="C44" s="1456" t="s">
        <v>394</v>
      </c>
      <c r="D44" s="1632"/>
      <c r="E44" s="1632"/>
      <c r="F44" s="1632"/>
      <c r="G44" s="1621" t="e">
        <f t="shared" si="0"/>
        <v>#DIV/0!</v>
      </c>
      <c r="H44" s="1615"/>
      <c r="I44" s="1602"/>
      <c r="J44" s="1451"/>
    </row>
    <row r="45" spans="1:10" s="397" customFormat="1" ht="16.5" hidden="1">
      <c r="A45" s="389"/>
      <c r="B45" s="1461" t="s">
        <v>979</v>
      </c>
      <c r="C45" s="1456" t="s">
        <v>980</v>
      </c>
      <c r="D45" s="1632"/>
      <c r="E45" s="1632"/>
      <c r="F45" s="1632"/>
      <c r="G45" s="1621" t="e">
        <f t="shared" si="0"/>
        <v>#DIV/0!</v>
      </c>
      <c r="H45" s="1615"/>
      <c r="I45" s="1629"/>
      <c r="J45" s="1451"/>
    </row>
    <row r="46" spans="1:10" s="397" customFormat="1" ht="16.5">
      <c r="A46" s="389"/>
      <c r="B46" s="1461" t="s">
        <v>774</v>
      </c>
      <c r="C46" s="1456" t="s">
        <v>1111</v>
      </c>
      <c r="D46" s="1632">
        <v>20000</v>
      </c>
      <c r="E46" s="1632">
        <v>20440</v>
      </c>
      <c r="F46" s="1632">
        <v>20440</v>
      </c>
      <c r="G46" s="1621">
        <f t="shared" si="0"/>
        <v>100</v>
      </c>
      <c r="H46" s="1632">
        <v>20507</v>
      </c>
      <c r="I46" s="1602"/>
      <c r="J46" s="1451"/>
    </row>
    <row r="47" spans="1:9" s="1451" customFormat="1" ht="16.5">
      <c r="A47" s="389"/>
      <c r="B47" s="1461" t="s">
        <v>981</v>
      </c>
      <c r="C47" s="1456" t="s">
        <v>6</v>
      </c>
      <c r="D47" s="1632">
        <v>70</v>
      </c>
      <c r="E47" s="1632">
        <v>72</v>
      </c>
      <c r="F47" s="1632">
        <v>72</v>
      </c>
      <c r="G47" s="1621">
        <f t="shared" si="0"/>
        <v>100</v>
      </c>
      <c r="H47" s="1466">
        <v>73</v>
      </c>
      <c r="I47" s="1602"/>
    </row>
    <row r="48" spans="1:10" s="1451" customFormat="1" ht="16.5">
      <c r="A48" s="386">
        <v>4</v>
      </c>
      <c r="B48" s="1448" t="s">
        <v>959</v>
      </c>
      <c r="C48" s="1449" t="s">
        <v>298</v>
      </c>
      <c r="D48" s="1528">
        <v>51.75</v>
      </c>
      <c r="E48" s="1525">
        <v>54.37</v>
      </c>
      <c r="F48" s="1525">
        <v>54.58</v>
      </c>
      <c r="G48" s="1450">
        <f t="shared" si="0"/>
        <v>100.38624241309546</v>
      </c>
      <c r="H48" s="1525">
        <v>56.8</v>
      </c>
      <c r="I48" s="1603"/>
      <c r="J48" s="1451" t="s">
        <v>1106</v>
      </c>
    </row>
    <row r="49" spans="1:9" s="1451" customFormat="1" ht="16.5">
      <c r="A49" s="386">
        <v>5</v>
      </c>
      <c r="B49" s="1448" t="s">
        <v>672</v>
      </c>
      <c r="C49" s="1449" t="s">
        <v>293</v>
      </c>
      <c r="D49" s="1528">
        <v>147.9798</v>
      </c>
      <c r="E49" s="1528">
        <v>136.2</v>
      </c>
      <c r="F49" s="1654">
        <v>180.657</v>
      </c>
      <c r="G49" s="1450">
        <f t="shared" si="0"/>
        <v>132.64096916299562</v>
      </c>
      <c r="H49" s="1636">
        <v>173.15</v>
      </c>
      <c r="I49" s="1655"/>
    </row>
    <row r="50" spans="1:9" s="1451" customFormat="1" ht="16.5">
      <c r="A50" s="386">
        <v>6</v>
      </c>
      <c r="B50" s="1448" t="s">
        <v>396</v>
      </c>
      <c r="C50" s="1449" t="s">
        <v>293</v>
      </c>
      <c r="D50" s="1616">
        <v>519.386</v>
      </c>
      <c r="E50" s="1656">
        <v>477.002</v>
      </c>
      <c r="F50" s="1636">
        <v>670.946</v>
      </c>
      <c r="G50" s="1450">
        <f t="shared" si="0"/>
        <v>140.6589490190817</v>
      </c>
      <c r="H50" s="1636">
        <v>578.035</v>
      </c>
      <c r="I50" s="1602"/>
    </row>
    <row r="51" spans="1:9" s="565" customFormat="1" ht="16.5" hidden="1">
      <c r="A51" s="1445" t="s">
        <v>397</v>
      </c>
      <c r="B51" s="1446" t="s">
        <v>398</v>
      </c>
      <c r="C51" s="1449" t="s">
        <v>293</v>
      </c>
      <c r="D51" s="1617"/>
      <c r="E51" s="1473"/>
      <c r="F51" s="1473"/>
      <c r="G51" s="1450" t="e">
        <f t="shared" si="0"/>
        <v>#DIV/0!</v>
      </c>
      <c r="H51" s="1473"/>
      <c r="I51" s="1602"/>
    </row>
    <row r="52" spans="1:9" s="1451" customFormat="1" ht="16.5" hidden="1">
      <c r="A52" s="1445" t="s">
        <v>401</v>
      </c>
      <c r="B52" s="1446" t="s">
        <v>402</v>
      </c>
      <c r="C52" s="1449" t="s">
        <v>293</v>
      </c>
      <c r="D52" s="1616"/>
      <c r="E52" s="1474"/>
      <c r="F52" s="1474"/>
      <c r="G52" s="1450" t="e">
        <f t="shared" si="0"/>
        <v>#DIV/0!</v>
      </c>
      <c r="H52" s="1474"/>
      <c r="I52" s="1602"/>
    </row>
    <row r="53" spans="1:10" s="397" customFormat="1" ht="33">
      <c r="A53" s="386">
        <v>7</v>
      </c>
      <c r="B53" s="384" t="s">
        <v>1078</v>
      </c>
      <c r="C53" s="1449" t="s">
        <v>293</v>
      </c>
      <c r="D53" s="1474">
        <f>D54+D55</f>
        <v>51.405</v>
      </c>
      <c r="E53" s="1474">
        <f>E54+E55</f>
        <v>125.73400000000001</v>
      </c>
      <c r="F53" s="1633">
        <f>F54+F55</f>
        <v>203.361</v>
      </c>
      <c r="G53" s="1450">
        <f t="shared" si="0"/>
        <v>161.73906819157904</v>
      </c>
      <c r="H53" s="1636">
        <f>H54+H55</f>
        <v>128.85399999999998</v>
      </c>
      <c r="I53" s="1602"/>
      <c r="J53" s="1451"/>
    </row>
    <row r="54" spans="1:10" s="397" customFormat="1" ht="16.5">
      <c r="A54" s="389"/>
      <c r="B54" s="1455" t="s">
        <v>404</v>
      </c>
      <c r="C54" s="1456" t="s">
        <v>293</v>
      </c>
      <c r="D54" s="1614">
        <v>36.998</v>
      </c>
      <c r="E54" s="1524">
        <v>60.826</v>
      </c>
      <c r="F54" s="1634">
        <v>60.826</v>
      </c>
      <c r="G54" s="1621">
        <f t="shared" si="0"/>
        <v>100</v>
      </c>
      <c r="H54" s="1634">
        <v>60</v>
      </c>
      <c r="I54" s="1602"/>
      <c r="J54" s="1451" t="s">
        <v>1106</v>
      </c>
    </row>
    <row r="55" spans="1:9" s="1451" customFormat="1" ht="16.5">
      <c r="A55" s="389"/>
      <c r="B55" s="1455" t="s">
        <v>405</v>
      </c>
      <c r="C55" s="1456" t="s">
        <v>293</v>
      </c>
      <c r="D55" s="1614">
        <v>14.407</v>
      </c>
      <c r="E55" s="1524">
        <v>64.908</v>
      </c>
      <c r="F55" s="1634">
        <v>142.535</v>
      </c>
      <c r="G55" s="1621">
        <f>F55/E55*100</f>
        <v>219.59542737412954</v>
      </c>
      <c r="H55" s="1614">
        <v>68.854</v>
      </c>
      <c r="I55" s="1602"/>
    </row>
    <row r="56" spans="1:10" s="397" customFormat="1" ht="16.5" hidden="1">
      <c r="A56" s="389"/>
      <c r="B56" s="1455" t="s">
        <v>1067</v>
      </c>
      <c r="C56" s="1456" t="s">
        <v>293</v>
      </c>
      <c r="D56" s="1466"/>
      <c r="E56" s="1466"/>
      <c r="F56" s="1466"/>
      <c r="G56" s="1450" t="e">
        <f t="shared" si="0"/>
        <v>#DIV/0!</v>
      </c>
      <c r="H56" s="1466"/>
      <c r="I56" s="1630"/>
      <c r="J56" s="1451"/>
    </row>
    <row r="57" spans="1:10" s="397" customFormat="1" ht="16.5">
      <c r="A57" s="1445">
        <v>8</v>
      </c>
      <c r="B57" s="1446" t="s">
        <v>406</v>
      </c>
      <c r="C57" s="1338"/>
      <c r="D57" s="1476"/>
      <c r="E57" s="1476"/>
      <c r="F57" s="1476"/>
      <c r="G57" s="1450"/>
      <c r="H57" s="1476"/>
      <c r="I57" s="1487"/>
      <c r="J57" s="1451"/>
    </row>
    <row r="58" spans="1:10" s="397" customFormat="1" ht="18" customHeight="1">
      <c r="A58" s="389"/>
      <c r="B58" s="1461" t="s">
        <v>407</v>
      </c>
      <c r="C58" s="1456" t="s">
        <v>408</v>
      </c>
      <c r="D58" s="1466">
        <v>17</v>
      </c>
      <c r="E58" s="1476">
        <v>15</v>
      </c>
      <c r="F58" s="1470">
        <v>18.13</v>
      </c>
      <c r="G58" s="1621">
        <f t="shared" si="0"/>
        <v>120.86666666666666</v>
      </c>
      <c r="H58" s="1476">
        <v>16</v>
      </c>
      <c r="I58" s="1602"/>
      <c r="J58" s="1451"/>
    </row>
    <row r="59" spans="1:10" s="397" customFormat="1" ht="16.5">
      <c r="A59" s="389"/>
      <c r="B59" s="1461" t="s">
        <v>409</v>
      </c>
      <c r="C59" s="1456" t="s">
        <v>408</v>
      </c>
      <c r="D59" s="1466">
        <v>7.8</v>
      </c>
      <c r="E59" s="1476">
        <v>6</v>
      </c>
      <c r="F59" s="1470">
        <v>14.5</v>
      </c>
      <c r="G59" s="1621">
        <f t="shared" si="0"/>
        <v>241.66666666666666</v>
      </c>
      <c r="H59" s="1476">
        <v>15</v>
      </c>
      <c r="I59" s="1602"/>
      <c r="J59" s="1451"/>
    </row>
    <row r="60" spans="1:10" s="1451" customFormat="1" ht="32.25" customHeight="1">
      <c r="A60" s="1638">
        <v>9</v>
      </c>
      <c r="B60" s="1639" t="s">
        <v>1125</v>
      </c>
      <c r="C60" s="1640" t="s">
        <v>6</v>
      </c>
      <c r="D60" s="1641">
        <v>85</v>
      </c>
      <c r="E60" s="1642">
        <v>95.5</v>
      </c>
      <c r="F60" s="1642">
        <v>95.085</v>
      </c>
      <c r="G60" s="1642"/>
      <c r="H60" s="1642">
        <v>96.4</v>
      </c>
      <c r="I60" s="1643"/>
      <c r="J60" s="1451" t="s">
        <v>1106</v>
      </c>
    </row>
    <row r="61" spans="1:10" s="1451" customFormat="1" ht="16.5">
      <c r="A61" s="421"/>
      <c r="B61" s="1644" t="s">
        <v>1124</v>
      </c>
      <c r="C61" s="1644"/>
      <c r="D61" s="1645"/>
      <c r="E61" s="1645" t="s">
        <v>1118</v>
      </c>
      <c r="F61" s="1646" t="s">
        <v>1122</v>
      </c>
      <c r="G61" s="1646"/>
      <c r="H61" s="1645" t="s">
        <v>1123</v>
      </c>
      <c r="I61" s="1647"/>
      <c r="J61" s="1623">
        <f>212.76/250</f>
        <v>0.85104</v>
      </c>
    </row>
    <row r="62" spans="1:11" ht="16.5">
      <c r="A62" s="1445" t="s">
        <v>30</v>
      </c>
      <c r="B62" s="1446" t="s">
        <v>414</v>
      </c>
      <c r="C62" s="1338"/>
      <c r="D62" s="1460"/>
      <c r="E62" s="1460"/>
      <c r="F62" s="1460"/>
      <c r="G62" s="1450"/>
      <c r="H62" s="1460"/>
      <c r="I62" s="1469"/>
      <c r="K62" s="1619"/>
    </row>
    <row r="63" spans="1:12" s="1648" customFormat="1" ht="16.5">
      <c r="A63" s="386">
        <v>10</v>
      </c>
      <c r="B63" s="1448" t="s">
        <v>415</v>
      </c>
      <c r="C63" s="1449" t="s">
        <v>299</v>
      </c>
      <c r="D63" s="1472">
        <v>82344</v>
      </c>
      <c r="E63" s="1472">
        <v>83389</v>
      </c>
      <c r="F63" s="1472">
        <v>80562</v>
      </c>
      <c r="G63" s="1450">
        <f t="shared" si="0"/>
        <v>96.60986461044023</v>
      </c>
      <c r="H63" s="1539">
        <v>82707</v>
      </c>
      <c r="I63" s="1603"/>
      <c r="J63" s="1451"/>
      <c r="K63" s="1657"/>
      <c r="L63" s="397"/>
    </row>
    <row r="64" spans="1:10" s="397" customFormat="1" ht="16.5">
      <c r="A64" s="389"/>
      <c r="B64" s="1455" t="s">
        <v>416</v>
      </c>
      <c r="C64" s="1456" t="s">
        <v>6</v>
      </c>
      <c r="D64" s="1459">
        <v>0.69</v>
      </c>
      <c r="E64" s="1459">
        <v>1.11</v>
      </c>
      <c r="F64" s="1459">
        <v>1.08</v>
      </c>
      <c r="G64" s="1621">
        <f t="shared" si="0"/>
        <v>97.29729729729729</v>
      </c>
      <c r="H64" s="1459">
        <v>1.04</v>
      </c>
      <c r="I64" s="1603"/>
      <c r="J64" s="1451"/>
    </row>
    <row r="65" spans="1:9" s="1451" customFormat="1" ht="16.5">
      <c r="A65" s="389"/>
      <c r="B65" s="1455" t="s">
        <v>417</v>
      </c>
      <c r="C65" s="1456" t="s">
        <v>15</v>
      </c>
      <c r="D65" s="1476">
        <v>0.2</v>
      </c>
      <c r="E65" s="1476">
        <v>0.2</v>
      </c>
      <c r="F65" s="1476">
        <v>0.2</v>
      </c>
      <c r="G65" s="1621">
        <f t="shared" si="0"/>
        <v>100</v>
      </c>
      <c r="H65" s="1476">
        <v>0.2</v>
      </c>
      <c r="I65" s="1603"/>
    </row>
    <row r="66" spans="1:10" s="397" customFormat="1" ht="16.5">
      <c r="A66" s="389"/>
      <c r="B66" s="1455" t="s">
        <v>418</v>
      </c>
      <c r="C66" s="1456" t="s">
        <v>25</v>
      </c>
      <c r="D66" s="1476">
        <v>72.1</v>
      </c>
      <c r="E66" s="1476">
        <v>72.1</v>
      </c>
      <c r="F66" s="1476">
        <v>72.1</v>
      </c>
      <c r="G66" s="1621">
        <f t="shared" si="0"/>
        <v>100</v>
      </c>
      <c r="H66" s="1476">
        <v>72.1</v>
      </c>
      <c r="I66" s="1603"/>
      <c r="J66" s="1451"/>
    </row>
    <row r="67" spans="1:10" s="397" customFormat="1" ht="16.5">
      <c r="A67" s="1445">
        <v>11</v>
      </c>
      <c r="B67" s="1446" t="s">
        <v>419</v>
      </c>
      <c r="C67" s="1338"/>
      <c r="D67" s="1470"/>
      <c r="E67" s="1470"/>
      <c r="F67" s="1470"/>
      <c r="G67" s="1450"/>
      <c r="H67" s="1470"/>
      <c r="I67" s="1464"/>
      <c r="J67" s="1624">
        <v>99.33</v>
      </c>
    </row>
    <row r="68" spans="1:10" s="397" customFormat="1" ht="16.5" hidden="1">
      <c r="A68" s="1452"/>
      <c r="B68" s="1453" t="s">
        <v>420</v>
      </c>
      <c r="C68" s="1344" t="s">
        <v>6</v>
      </c>
      <c r="D68" s="1466"/>
      <c r="E68" s="1466"/>
      <c r="F68" s="1466"/>
      <c r="G68" s="1450" t="e">
        <f t="shared" si="0"/>
        <v>#DIV/0!</v>
      </c>
      <c r="H68" s="1466"/>
      <c r="I68" s="1464"/>
      <c r="J68" s="1451"/>
    </row>
    <row r="69" spans="1:10" s="1652" customFormat="1" ht="16.5">
      <c r="A69" s="1649"/>
      <c r="B69" s="1461" t="s">
        <v>1126</v>
      </c>
      <c r="C69" s="1650" t="s">
        <v>6</v>
      </c>
      <c r="D69" s="1470">
        <v>52.17</v>
      </c>
      <c r="E69" s="1470">
        <v>58.7</v>
      </c>
      <c r="F69" s="1470">
        <f>E69</f>
        <v>58.7</v>
      </c>
      <c r="G69" s="1621">
        <v>100</v>
      </c>
      <c r="H69" s="1470">
        <v>60.86</v>
      </c>
      <c r="I69" s="1603"/>
      <c r="J69" s="1651"/>
    </row>
    <row r="70" spans="1:9" ht="16.5" hidden="1">
      <c r="A70" s="389"/>
      <c r="B70" s="1461" t="s">
        <v>422</v>
      </c>
      <c r="C70" s="1456" t="s">
        <v>421</v>
      </c>
      <c r="D70" s="1352"/>
      <c r="E70" s="1466"/>
      <c r="F70" s="1352"/>
      <c r="G70" s="1621" t="e">
        <f t="shared" si="0"/>
        <v>#DIV/0!</v>
      </c>
      <c r="H70" s="1466"/>
      <c r="I70" s="1469"/>
    </row>
    <row r="71" spans="1:10" s="397" customFormat="1" ht="16.5">
      <c r="A71" s="389"/>
      <c r="B71" s="1461" t="s">
        <v>461</v>
      </c>
      <c r="C71" s="1456" t="s">
        <v>6</v>
      </c>
      <c r="D71" s="1466">
        <v>90</v>
      </c>
      <c r="E71" s="1466">
        <v>90</v>
      </c>
      <c r="F71" s="1466">
        <v>90</v>
      </c>
      <c r="G71" s="1621">
        <f t="shared" si="0"/>
        <v>100</v>
      </c>
      <c r="H71" s="1466">
        <v>90</v>
      </c>
      <c r="I71" s="1603"/>
      <c r="J71" s="1451"/>
    </row>
    <row r="72" spans="1:9" ht="16.5">
      <c r="A72" s="1452"/>
      <c r="B72" s="1468" t="s">
        <v>1019</v>
      </c>
      <c r="C72" s="1344" t="s">
        <v>6</v>
      </c>
      <c r="D72" s="1352">
        <v>100</v>
      </c>
      <c r="E72" s="1470">
        <v>100</v>
      </c>
      <c r="F72" s="1352">
        <v>100</v>
      </c>
      <c r="G72" s="1621">
        <f t="shared" si="0"/>
        <v>100</v>
      </c>
      <c r="H72" s="1470">
        <v>100</v>
      </c>
      <c r="I72" s="1603"/>
    </row>
    <row r="73" spans="1:10" s="397" customFormat="1" ht="16.5">
      <c r="A73" s="389"/>
      <c r="B73" s="1611" t="s">
        <v>1079</v>
      </c>
      <c r="C73" s="1456" t="s">
        <v>6</v>
      </c>
      <c r="D73" s="1466">
        <v>98</v>
      </c>
      <c r="E73" s="1476">
        <v>98</v>
      </c>
      <c r="F73" s="1466">
        <v>98</v>
      </c>
      <c r="G73" s="1621">
        <f t="shared" si="0"/>
        <v>100</v>
      </c>
      <c r="H73" s="1476">
        <v>98</v>
      </c>
      <c r="I73" s="1603"/>
      <c r="J73" s="1451"/>
    </row>
    <row r="74" spans="1:9" ht="16.5" hidden="1">
      <c r="A74" s="1452"/>
      <c r="B74" s="1453" t="s">
        <v>424</v>
      </c>
      <c r="C74" s="1344" t="s">
        <v>425</v>
      </c>
      <c r="D74" s="1352"/>
      <c r="E74" s="1352"/>
      <c r="F74" s="1352"/>
      <c r="G74" s="1621" t="e">
        <f t="shared" si="0"/>
        <v>#DIV/0!</v>
      </c>
      <c r="H74" s="1352"/>
      <c r="I74" s="1603"/>
    </row>
    <row r="75" spans="1:9" s="565" customFormat="1" ht="16.5">
      <c r="A75" s="1452"/>
      <c r="B75" s="1468" t="s">
        <v>423</v>
      </c>
      <c r="C75" s="1344" t="s">
        <v>6</v>
      </c>
      <c r="D75" s="1612">
        <v>100</v>
      </c>
      <c r="E75" s="1352">
        <v>100</v>
      </c>
      <c r="F75" s="1612">
        <v>100</v>
      </c>
      <c r="G75" s="1621">
        <f t="shared" si="0"/>
        <v>100</v>
      </c>
      <c r="H75" s="1352">
        <v>100</v>
      </c>
      <c r="I75" s="1603"/>
    </row>
    <row r="76" spans="1:9" ht="16.5">
      <c r="A76" s="1452"/>
      <c r="B76" s="1453" t="s">
        <v>1020</v>
      </c>
      <c r="C76" s="1344" t="s">
        <v>425</v>
      </c>
      <c r="D76" s="1352">
        <v>12</v>
      </c>
      <c r="E76" s="1352">
        <v>12</v>
      </c>
      <c r="F76" s="1352">
        <v>12</v>
      </c>
      <c r="G76" s="1621">
        <f t="shared" si="0"/>
        <v>100</v>
      </c>
      <c r="H76" s="1352">
        <v>12</v>
      </c>
      <c r="I76" s="1603"/>
    </row>
    <row r="77" spans="1:10" s="397" customFormat="1" ht="16.5">
      <c r="A77" s="1445">
        <v>12</v>
      </c>
      <c r="B77" s="1446" t="s">
        <v>173</v>
      </c>
      <c r="C77" s="1338"/>
      <c r="D77" s="1459"/>
      <c r="E77" s="1459"/>
      <c r="F77" s="1459"/>
      <c r="G77" s="1450"/>
      <c r="H77" s="1459"/>
      <c r="I77" s="1604"/>
      <c r="J77" s="1624">
        <f>SUM(G78:G84)/7</f>
        <v>99.90392198752674</v>
      </c>
    </row>
    <row r="78" spans="1:10" s="397" customFormat="1" ht="36" customHeight="1">
      <c r="A78" s="389"/>
      <c r="B78" s="410" t="s">
        <v>1062</v>
      </c>
      <c r="C78" s="1456" t="s">
        <v>428</v>
      </c>
      <c r="D78" s="1476">
        <v>14.3</v>
      </c>
      <c r="E78" s="1476">
        <v>14.2</v>
      </c>
      <c r="F78" s="1470">
        <v>14.02</v>
      </c>
      <c r="G78" s="1621">
        <f t="shared" si="0"/>
        <v>98.73239436619718</v>
      </c>
      <c r="H78" s="1476">
        <v>14.3</v>
      </c>
      <c r="I78" s="1603"/>
      <c r="J78" s="1451"/>
    </row>
    <row r="79" spans="1:10" s="397" customFormat="1" ht="16.5">
      <c r="A79" s="389"/>
      <c r="B79" s="1455" t="s">
        <v>429</v>
      </c>
      <c r="C79" s="1456" t="s">
        <v>430</v>
      </c>
      <c r="D79" s="1476">
        <v>6</v>
      </c>
      <c r="E79" s="1476">
        <v>6.2</v>
      </c>
      <c r="F79" s="1476">
        <v>6.3</v>
      </c>
      <c r="G79" s="1621">
        <f t="shared" si="0"/>
        <v>101.61290322580645</v>
      </c>
      <c r="H79" s="1476">
        <v>6.3</v>
      </c>
      <c r="I79" s="1603"/>
      <c r="J79" s="1451"/>
    </row>
    <row r="80" spans="1:10" s="397" customFormat="1" ht="16.5">
      <c r="A80" s="389"/>
      <c r="B80" s="1461" t="s">
        <v>1119</v>
      </c>
      <c r="C80" s="1456" t="s">
        <v>6</v>
      </c>
      <c r="D80" s="1475">
        <v>100</v>
      </c>
      <c r="E80" s="1475">
        <v>100</v>
      </c>
      <c r="F80" s="1475">
        <v>100</v>
      </c>
      <c r="G80" s="1621">
        <f t="shared" si="0"/>
        <v>100</v>
      </c>
      <c r="H80" s="1475">
        <v>100</v>
      </c>
      <c r="I80" s="1603"/>
      <c r="J80" s="1451"/>
    </row>
    <row r="81" spans="1:10" s="397" customFormat="1" ht="16.5">
      <c r="A81" s="389"/>
      <c r="B81" s="1461" t="s">
        <v>432</v>
      </c>
      <c r="C81" s="1456" t="s">
        <v>6</v>
      </c>
      <c r="D81" s="1475" t="s">
        <v>1081</v>
      </c>
      <c r="E81" s="1475">
        <v>92</v>
      </c>
      <c r="F81" s="1475">
        <v>90</v>
      </c>
      <c r="G81" s="1621">
        <f t="shared" si="0"/>
        <v>97.82608695652173</v>
      </c>
      <c r="H81" s="1475" t="s">
        <v>1081</v>
      </c>
      <c r="I81" s="1603"/>
      <c r="J81" s="1451"/>
    </row>
    <row r="82" spans="1:10" s="397" customFormat="1" ht="16.5">
      <c r="A82" s="389"/>
      <c r="B82" s="1461" t="s">
        <v>433</v>
      </c>
      <c r="C82" s="1456" t="s">
        <v>6</v>
      </c>
      <c r="D82" s="1457">
        <v>17.7</v>
      </c>
      <c r="E82" s="1457">
        <v>17.5</v>
      </c>
      <c r="F82" s="1457">
        <v>17.3</v>
      </c>
      <c r="G82" s="1621">
        <f>E82/F82*100</f>
        <v>101.15606936416184</v>
      </c>
      <c r="H82" s="1457">
        <v>17.2</v>
      </c>
      <c r="I82" s="1603"/>
      <c r="J82" s="1451"/>
    </row>
    <row r="83" spans="1:9" s="1451" customFormat="1" ht="16.5">
      <c r="A83" s="389"/>
      <c r="B83" s="1461" t="s">
        <v>972</v>
      </c>
      <c r="C83" s="1456" t="s">
        <v>6</v>
      </c>
      <c r="D83" s="1476">
        <v>100</v>
      </c>
      <c r="E83" s="1466">
        <v>100</v>
      </c>
      <c r="F83" s="1466">
        <v>100</v>
      </c>
      <c r="G83" s="1621">
        <f t="shared" si="0"/>
        <v>100</v>
      </c>
      <c r="H83" s="1466">
        <v>100</v>
      </c>
      <c r="I83" s="1603"/>
    </row>
    <row r="84" spans="1:10" s="397" customFormat="1" ht="16.5">
      <c r="A84" s="389"/>
      <c r="B84" s="1461" t="s">
        <v>434</v>
      </c>
      <c r="C84" s="1456" t="s">
        <v>6</v>
      </c>
      <c r="D84" s="1458">
        <v>87</v>
      </c>
      <c r="E84" s="1458">
        <v>92</v>
      </c>
      <c r="F84" s="1458">
        <v>92</v>
      </c>
      <c r="G84" s="1621">
        <f t="shared" si="0"/>
        <v>100</v>
      </c>
      <c r="H84" s="1459">
        <v>93.09</v>
      </c>
      <c r="I84" s="1603"/>
      <c r="J84" s="1451"/>
    </row>
    <row r="85" spans="1:9" ht="16.5">
      <c r="A85" s="1445">
        <v>13</v>
      </c>
      <c r="B85" s="1446" t="s">
        <v>435</v>
      </c>
      <c r="C85" s="1338"/>
      <c r="D85" s="1478"/>
      <c r="E85" s="1478"/>
      <c r="F85" s="1478"/>
      <c r="G85" s="1621"/>
      <c r="H85" s="1478"/>
      <c r="I85" s="1469"/>
    </row>
    <row r="86" spans="1:10" ht="16.5">
      <c r="A86" s="1452"/>
      <c r="B86" s="1453" t="s">
        <v>1112</v>
      </c>
      <c r="C86" s="1344" t="s">
        <v>6</v>
      </c>
      <c r="D86" s="1471">
        <v>43</v>
      </c>
      <c r="E86" s="1471">
        <v>43</v>
      </c>
      <c r="F86" s="1471">
        <v>43</v>
      </c>
      <c r="G86" s="1621">
        <f aca="true" t="shared" si="2" ref="G86:G131">F86/E86*100</f>
        <v>100</v>
      </c>
      <c r="H86" s="1478">
        <v>43</v>
      </c>
      <c r="I86" s="1469"/>
      <c r="J86" s="559"/>
    </row>
    <row r="87" spans="1:9" s="397" customFormat="1" ht="26.25" customHeight="1">
      <c r="A87" s="389"/>
      <c r="B87" s="1625" t="s">
        <v>1114</v>
      </c>
      <c r="C87" s="1456" t="s">
        <v>299</v>
      </c>
      <c r="D87" s="1464">
        <v>2000</v>
      </c>
      <c r="E87" s="1464">
        <v>2000</v>
      </c>
      <c r="F87" s="1464">
        <v>2000</v>
      </c>
      <c r="G87" s="1621">
        <f t="shared" si="2"/>
        <v>100</v>
      </c>
      <c r="H87" s="1464">
        <v>2000</v>
      </c>
      <c r="I87" s="1603"/>
    </row>
    <row r="88" spans="1:9" s="397" customFormat="1" ht="26.25" customHeight="1">
      <c r="A88" s="389"/>
      <c r="B88" s="1625" t="s">
        <v>1113</v>
      </c>
      <c r="C88" s="1456" t="s">
        <v>299</v>
      </c>
      <c r="D88" s="1464"/>
      <c r="E88" s="1464">
        <v>240</v>
      </c>
      <c r="F88" s="1464">
        <v>390</v>
      </c>
      <c r="G88" s="1621">
        <f t="shared" si="2"/>
        <v>162.5</v>
      </c>
      <c r="H88" s="1464">
        <v>310</v>
      </c>
      <c r="I88" s="1603"/>
    </row>
    <row r="89" spans="1:9" s="397" customFormat="1" ht="16.5">
      <c r="A89" s="389"/>
      <c r="B89" s="435" t="s">
        <v>925</v>
      </c>
      <c r="C89" s="1456" t="s">
        <v>1025</v>
      </c>
      <c r="D89" s="1457">
        <v>56.6</v>
      </c>
      <c r="E89" s="1457">
        <v>56.8</v>
      </c>
      <c r="F89" s="1457">
        <v>56.8</v>
      </c>
      <c r="G89" s="1621">
        <f t="shared" si="2"/>
        <v>100</v>
      </c>
      <c r="H89" s="1457">
        <v>56.8</v>
      </c>
      <c r="I89" s="1603"/>
    </row>
    <row r="90" spans="1:9" s="397" customFormat="1" ht="16.5">
      <c r="A90" s="389"/>
      <c r="B90" s="1625" t="s">
        <v>1102</v>
      </c>
      <c r="C90" s="1456" t="s">
        <v>1103</v>
      </c>
      <c r="D90" s="1458">
        <v>235</v>
      </c>
      <c r="E90" s="1458">
        <v>235</v>
      </c>
      <c r="F90" s="1458"/>
      <c r="G90" s="1621">
        <f t="shared" si="2"/>
        <v>0</v>
      </c>
      <c r="H90" s="1458">
        <v>235</v>
      </c>
      <c r="I90" s="389"/>
    </row>
    <row r="91" spans="1:11" s="397" customFormat="1" ht="16.5" customHeight="1">
      <c r="A91" s="1445">
        <v>14</v>
      </c>
      <c r="B91" s="1446" t="s">
        <v>436</v>
      </c>
      <c r="C91" s="1338"/>
      <c r="D91" s="1475"/>
      <c r="E91" s="1475"/>
      <c r="F91" s="1475"/>
      <c r="G91" s="1621"/>
      <c r="H91" s="1475"/>
      <c r="I91" s="1464"/>
      <c r="J91" s="1626">
        <f>SUM(G92:G98)/7</f>
        <v>102.73768691391399</v>
      </c>
      <c r="K91" s="397" t="s">
        <v>1107</v>
      </c>
    </row>
    <row r="92" spans="1:10" s="397" customFormat="1" ht="16.5">
      <c r="A92" s="389"/>
      <c r="B92" s="1455" t="s">
        <v>437</v>
      </c>
      <c r="C92" s="1456" t="s">
        <v>6</v>
      </c>
      <c r="D92" s="1475">
        <v>100</v>
      </c>
      <c r="E92" s="1455">
        <v>100</v>
      </c>
      <c r="F92" s="1475">
        <v>100</v>
      </c>
      <c r="G92" s="1621">
        <f>F92/E92*100</f>
        <v>100</v>
      </c>
      <c r="H92" s="1455">
        <v>100</v>
      </c>
      <c r="I92" s="1603"/>
      <c r="J92" s="1451"/>
    </row>
    <row r="93" spans="1:10" s="397" customFormat="1" ht="16.5">
      <c r="A93" s="389"/>
      <c r="B93" s="1455" t="s">
        <v>438</v>
      </c>
      <c r="C93" s="1456" t="s">
        <v>6</v>
      </c>
      <c r="D93" s="1476">
        <v>88.4</v>
      </c>
      <c r="E93" s="1466">
        <v>89</v>
      </c>
      <c r="F93" s="1476">
        <v>92</v>
      </c>
      <c r="G93" s="1621">
        <f>F93/E93*100</f>
        <v>103.37078651685394</v>
      </c>
      <c r="H93" s="1466">
        <v>89</v>
      </c>
      <c r="I93" s="1603"/>
      <c r="J93" s="1451"/>
    </row>
    <row r="94" spans="1:10" s="397" customFormat="1" ht="16.5">
      <c r="A94" s="389"/>
      <c r="B94" s="1455" t="s">
        <v>1048</v>
      </c>
      <c r="C94" s="1456" t="s">
        <v>6</v>
      </c>
      <c r="D94" s="1466">
        <v>84</v>
      </c>
      <c r="E94" s="1466">
        <v>89</v>
      </c>
      <c r="F94" s="1476">
        <v>93.5</v>
      </c>
      <c r="G94" s="1621">
        <f>F94/E94*100</f>
        <v>105.0561797752809</v>
      </c>
      <c r="H94" s="1466">
        <v>89</v>
      </c>
      <c r="I94" s="1603"/>
      <c r="J94" s="1451"/>
    </row>
    <row r="95" spans="1:10" s="397" customFormat="1" ht="16.5">
      <c r="A95" s="389"/>
      <c r="B95" s="1455" t="s">
        <v>1049</v>
      </c>
      <c r="C95" s="1456" t="s">
        <v>6</v>
      </c>
      <c r="D95" s="1458">
        <v>42</v>
      </c>
      <c r="E95" s="1458">
        <v>50</v>
      </c>
      <c r="F95" s="1458">
        <v>58</v>
      </c>
      <c r="G95" s="1621">
        <f>F95/E95*100</f>
        <v>115.99999999999999</v>
      </c>
      <c r="H95" s="1458">
        <v>50</v>
      </c>
      <c r="I95" s="1631"/>
      <c r="J95" s="1451"/>
    </row>
    <row r="96" spans="1:10" s="397" customFormat="1" ht="16.5">
      <c r="A96" s="389"/>
      <c r="B96" s="1455" t="s">
        <v>441</v>
      </c>
      <c r="C96" s="1456" t="s">
        <v>6</v>
      </c>
      <c r="D96" s="1466">
        <v>89</v>
      </c>
      <c r="E96" s="1466">
        <v>95</v>
      </c>
      <c r="F96" s="1466">
        <v>90</v>
      </c>
      <c r="G96" s="1621">
        <f>F96/E96*100</f>
        <v>94.73684210526315</v>
      </c>
      <c r="H96" s="1466">
        <v>95</v>
      </c>
      <c r="I96" s="1603"/>
      <c r="J96" s="1451"/>
    </row>
    <row r="97" spans="1:10" s="397" customFormat="1" ht="16.5">
      <c r="A97" s="389"/>
      <c r="B97" s="1461" t="s">
        <v>442</v>
      </c>
      <c r="C97" s="1456" t="s">
        <v>6</v>
      </c>
      <c r="D97" s="1466">
        <v>100</v>
      </c>
      <c r="E97" s="1466">
        <v>100</v>
      </c>
      <c r="F97" s="1466">
        <v>100</v>
      </c>
      <c r="G97" s="1621">
        <v>100</v>
      </c>
      <c r="H97" s="1466">
        <v>100</v>
      </c>
      <c r="I97" s="1603"/>
      <c r="J97" s="1451"/>
    </row>
    <row r="98" spans="1:10" s="397" customFormat="1" ht="16.5">
      <c r="A98" s="389"/>
      <c r="B98" s="1455" t="s">
        <v>443</v>
      </c>
      <c r="C98" s="1456" t="s">
        <v>6</v>
      </c>
      <c r="D98" s="1466">
        <v>100</v>
      </c>
      <c r="E98" s="1466">
        <v>100</v>
      </c>
      <c r="F98" s="1466">
        <v>100</v>
      </c>
      <c r="G98" s="1621">
        <v>100</v>
      </c>
      <c r="H98" s="1466">
        <v>100</v>
      </c>
      <c r="I98" s="1603"/>
      <c r="J98" s="1451"/>
    </row>
    <row r="99" spans="1:9" s="565" customFormat="1" ht="16.5" hidden="1">
      <c r="A99" s="1452"/>
      <c r="B99" s="1453" t="s">
        <v>462</v>
      </c>
      <c r="C99" s="1344" t="s">
        <v>463</v>
      </c>
      <c r="D99" s="1352"/>
      <c r="E99" s="1352"/>
      <c r="F99" s="1352"/>
      <c r="G99" s="1621" t="e">
        <f t="shared" si="2"/>
        <v>#DIV/0!</v>
      </c>
      <c r="H99" s="1352"/>
      <c r="I99" s="1369"/>
    </row>
    <row r="100" spans="1:10" s="397" customFormat="1" ht="16.5" hidden="1">
      <c r="A100" s="1452"/>
      <c r="B100" s="1468" t="s">
        <v>464</v>
      </c>
      <c r="C100" s="1344" t="s">
        <v>463</v>
      </c>
      <c r="D100" s="1477"/>
      <c r="E100" s="1477"/>
      <c r="F100" s="1477"/>
      <c r="G100" s="1621" t="e">
        <f t="shared" si="2"/>
        <v>#DIV/0!</v>
      </c>
      <c r="H100" s="1477"/>
      <c r="I100" s="1464"/>
      <c r="J100" s="1451"/>
    </row>
    <row r="101" spans="1:12" s="1653" customFormat="1" ht="17.25">
      <c r="A101" s="1445">
        <v>15</v>
      </c>
      <c r="B101" s="1446" t="s">
        <v>444</v>
      </c>
      <c r="C101" s="1338"/>
      <c r="D101" s="1491"/>
      <c r="E101" s="1491"/>
      <c r="F101" s="1491"/>
      <c r="G101" s="1621"/>
      <c r="H101" s="1491"/>
      <c r="I101" s="1464"/>
      <c r="J101" s="1658"/>
      <c r="K101" s="443"/>
      <c r="L101" s="443"/>
    </row>
    <row r="102" spans="1:12" s="720" customFormat="1" ht="16.5">
      <c r="A102" s="389"/>
      <c r="B102" s="410" t="s">
        <v>954</v>
      </c>
      <c r="C102" s="1456" t="s">
        <v>6</v>
      </c>
      <c r="D102" s="1439">
        <v>6.34</v>
      </c>
      <c r="E102" s="1439">
        <v>5.84</v>
      </c>
      <c r="F102" s="1439">
        <v>4.32</v>
      </c>
      <c r="G102" s="1621">
        <f>E102/F102*100</f>
        <v>135.18518518518516</v>
      </c>
      <c r="H102" s="1439">
        <v>3.82</v>
      </c>
      <c r="I102" s="1603"/>
      <c r="J102" s="1659">
        <f>SUM(G102:G103)/2</f>
        <v>139.97418031774268</v>
      </c>
      <c r="K102" s="565">
        <v>3.3</v>
      </c>
      <c r="L102" s="565" t="s">
        <v>1105</v>
      </c>
    </row>
    <row r="103" spans="1:12" s="1648" customFormat="1" ht="33">
      <c r="A103" s="416"/>
      <c r="B103" s="417" t="s">
        <v>1121</v>
      </c>
      <c r="C103" s="1479" t="s">
        <v>6</v>
      </c>
      <c r="D103" s="1477">
        <v>22.74</v>
      </c>
      <c r="E103" s="1477">
        <v>21.7</v>
      </c>
      <c r="F103" s="1477">
        <v>14.99</v>
      </c>
      <c r="G103" s="1621">
        <f>E103/F103*100</f>
        <v>144.7631754503002</v>
      </c>
      <c r="H103" s="1477">
        <v>13.5</v>
      </c>
      <c r="I103" s="1603"/>
      <c r="J103" s="1451"/>
      <c r="K103" s="397">
        <v>4.02</v>
      </c>
      <c r="L103" s="565" t="s">
        <v>1104</v>
      </c>
    </row>
    <row r="104" spans="1:10" s="397" customFormat="1" ht="16.5" customHeight="1" hidden="1">
      <c r="A104" s="416"/>
      <c r="B104" s="417" t="s">
        <v>1069</v>
      </c>
      <c r="C104" s="1479" t="s">
        <v>6</v>
      </c>
      <c r="D104" s="1470"/>
      <c r="E104" s="1470"/>
      <c r="F104" s="1470"/>
      <c r="G104" s="1621" t="e">
        <f t="shared" si="2"/>
        <v>#DIV/0!</v>
      </c>
      <c r="H104" s="1470"/>
      <c r="I104" s="1369"/>
      <c r="J104" s="1451"/>
    </row>
    <row r="105" spans="1:9" s="565" customFormat="1" ht="16.5">
      <c r="A105" s="1445">
        <v>16</v>
      </c>
      <c r="B105" s="1446" t="s">
        <v>445</v>
      </c>
      <c r="C105" s="1338"/>
      <c r="D105" s="1352"/>
      <c r="E105" s="1352"/>
      <c r="F105" s="1352"/>
      <c r="G105" s="1621"/>
      <c r="H105" s="1352"/>
      <c r="I105" s="1369"/>
    </row>
    <row r="106" spans="1:10" s="397" customFormat="1" ht="16.5">
      <c r="A106" s="389"/>
      <c r="B106" s="1455" t="s">
        <v>446</v>
      </c>
      <c r="C106" s="1456" t="s">
        <v>6</v>
      </c>
      <c r="D106" s="1458">
        <v>99.2</v>
      </c>
      <c r="E106" s="1457">
        <v>99.4</v>
      </c>
      <c r="F106" s="1457">
        <v>99.4</v>
      </c>
      <c r="G106" s="1621">
        <f t="shared" si="2"/>
        <v>100</v>
      </c>
      <c r="H106" s="1457">
        <v>99.6</v>
      </c>
      <c r="I106" s="1602"/>
      <c r="J106" s="1451"/>
    </row>
    <row r="107" spans="1:10" s="397" customFormat="1" ht="16.5">
      <c r="A107" s="389"/>
      <c r="B107" s="1461" t="s">
        <v>447</v>
      </c>
      <c r="C107" s="1456" t="s">
        <v>6</v>
      </c>
      <c r="D107" s="1466">
        <v>100</v>
      </c>
      <c r="E107" s="1466">
        <v>100</v>
      </c>
      <c r="F107" s="1476">
        <v>100</v>
      </c>
      <c r="G107" s="1621">
        <f t="shared" si="2"/>
        <v>100</v>
      </c>
      <c r="H107" s="1466">
        <v>100</v>
      </c>
      <c r="I107" s="1602"/>
      <c r="J107" s="1451"/>
    </row>
    <row r="108" spans="1:9" s="565" customFormat="1" ht="16.5">
      <c r="A108" s="1445">
        <v>17</v>
      </c>
      <c r="B108" s="1446" t="s">
        <v>448</v>
      </c>
      <c r="C108" s="1338"/>
      <c r="D108" s="1352"/>
      <c r="E108" s="1352"/>
      <c r="F108" s="1352"/>
      <c r="G108" s="1621"/>
      <c r="H108" s="1352"/>
      <c r="I108" s="1352"/>
    </row>
    <row r="109" spans="1:10" s="397" customFormat="1" ht="16.5">
      <c r="A109" s="389"/>
      <c r="B109" s="1455" t="s">
        <v>957</v>
      </c>
      <c r="C109" s="1456" t="s">
        <v>6</v>
      </c>
      <c r="D109" s="1476">
        <v>97.5</v>
      </c>
      <c r="E109" s="1476">
        <v>97.5</v>
      </c>
      <c r="F109" s="1476">
        <v>97.5</v>
      </c>
      <c r="G109" s="1621">
        <f t="shared" si="2"/>
        <v>100</v>
      </c>
      <c r="H109" s="1476">
        <v>98</v>
      </c>
      <c r="I109" s="1603"/>
      <c r="J109" s="1451"/>
    </row>
    <row r="110" spans="1:10" s="397" customFormat="1" ht="16.5" hidden="1">
      <c r="A110" s="1452"/>
      <c r="B110" s="1453" t="s">
        <v>473</v>
      </c>
      <c r="C110" s="1344" t="s">
        <v>6</v>
      </c>
      <c r="D110" s="1466"/>
      <c r="E110" s="1466"/>
      <c r="F110" s="1466"/>
      <c r="G110" s="1621" t="e">
        <f t="shared" si="2"/>
        <v>#DIV/0!</v>
      </c>
      <c r="H110" s="1466"/>
      <c r="I110" s="1465"/>
      <c r="J110" s="1451"/>
    </row>
    <row r="111" spans="1:9" ht="16.5">
      <c r="A111" s="1445">
        <v>18</v>
      </c>
      <c r="B111" s="1446" t="s">
        <v>449</v>
      </c>
      <c r="C111" s="1338"/>
      <c r="D111" s="1352"/>
      <c r="E111" s="1352"/>
      <c r="F111" s="1352"/>
      <c r="G111" s="1621"/>
      <c r="H111" s="1352"/>
      <c r="I111" s="1369"/>
    </row>
    <row r="112" spans="1:9" s="1451" customFormat="1" ht="31.5" customHeight="1">
      <c r="A112" s="389"/>
      <c r="B112" s="410" t="s">
        <v>1120</v>
      </c>
      <c r="C112" s="1456" t="s">
        <v>6</v>
      </c>
      <c r="D112" s="1466">
        <v>97</v>
      </c>
      <c r="E112" s="1466">
        <v>97</v>
      </c>
      <c r="F112" s="1466">
        <v>97</v>
      </c>
      <c r="G112" s="1621">
        <f t="shared" si="2"/>
        <v>100</v>
      </c>
      <c r="H112" s="1466">
        <v>98</v>
      </c>
      <c r="I112" s="1603"/>
    </row>
    <row r="113" spans="1:10" s="397" customFormat="1" ht="66">
      <c r="A113" s="389"/>
      <c r="B113" s="410" t="s">
        <v>1051</v>
      </c>
      <c r="C113" s="1456" t="s">
        <v>6</v>
      </c>
      <c r="D113" s="1458">
        <v>61</v>
      </c>
      <c r="E113" s="1458">
        <v>61</v>
      </c>
      <c r="F113" s="1458">
        <v>61</v>
      </c>
      <c r="G113" s="1621"/>
      <c r="H113" s="1458">
        <v>61</v>
      </c>
      <c r="I113" s="1464"/>
      <c r="J113" s="1451"/>
    </row>
    <row r="114" spans="1:9" ht="16.5" hidden="1">
      <c r="A114" s="1452"/>
      <c r="B114" s="1468" t="s">
        <v>475</v>
      </c>
      <c r="C114" s="1344" t="s">
        <v>6</v>
      </c>
      <c r="D114" s="1352"/>
      <c r="E114" s="1352"/>
      <c r="F114" s="1352"/>
      <c r="G114" s="1621" t="e">
        <f t="shared" si="2"/>
        <v>#DIV/0!</v>
      </c>
      <c r="H114" s="1352"/>
      <c r="I114" s="1471"/>
    </row>
    <row r="115" spans="1:10" ht="16.5">
      <c r="A115" s="1445">
        <v>19</v>
      </c>
      <c r="B115" s="1446" t="s">
        <v>470</v>
      </c>
      <c r="C115" s="1338"/>
      <c r="D115" s="1352"/>
      <c r="E115" s="1352"/>
      <c r="F115" s="1352"/>
      <c r="G115" s="1621"/>
      <c r="H115" s="1352"/>
      <c r="I115" s="1369"/>
      <c r="J115" s="565" t="s">
        <v>1075</v>
      </c>
    </row>
    <row r="116" spans="1:9" s="1451" customFormat="1" ht="16.5">
      <c r="A116" s="389"/>
      <c r="B116" s="1613" t="s">
        <v>1052</v>
      </c>
      <c r="C116" s="1456" t="s">
        <v>455</v>
      </c>
      <c r="D116" s="1632">
        <v>71140</v>
      </c>
      <c r="E116" s="1632">
        <v>96880</v>
      </c>
      <c r="F116" s="1632">
        <v>160000</v>
      </c>
      <c r="G116" s="1621">
        <f t="shared" si="2"/>
        <v>165.15276630883565</v>
      </c>
      <c r="H116" s="1632">
        <v>160000</v>
      </c>
      <c r="I116" s="1489"/>
    </row>
    <row r="117" spans="1:10" s="397" customFormat="1" ht="16.5">
      <c r="A117" s="389"/>
      <c r="B117" s="1613" t="s">
        <v>1053</v>
      </c>
      <c r="C117" s="1456" t="s">
        <v>455</v>
      </c>
      <c r="D117" s="1632">
        <v>530000</v>
      </c>
      <c r="E117" s="1632">
        <v>540000</v>
      </c>
      <c r="F117" s="1632">
        <v>550000</v>
      </c>
      <c r="G117" s="1621">
        <f t="shared" si="2"/>
        <v>101.85185185185186</v>
      </c>
      <c r="H117" s="1632">
        <v>600000</v>
      </c>
      <c r="I117" s="1603"/>
      <c r="J117" s="1451"/>
    </row>
    <row r="118" spans="1:9" ht="16.5" customHeight="1" hidden="1">
      <c r="A118" s="1452"/>
      <c r="B118" s="1453" t="s">
        <v>454</v>
      </c>
      <c r="C118" s="1344" t="s">
        <v>455</v>
      </c>
      <c r="D118" s="1352"/>
      <c r="E118" s="1352"/>
      <c r="F118" s="1352"/>
      <c r="G118" s="1621" t="e">
        <f t="shared" si="2"/>
        <v>#DIV/0!</v>
      </c>
      <c r="H118" s="1352"/>
      <c r="I118" s="1458"/>
    </row>
    <row r="119" spans="1:10" ht="16.5">
      <c r="A119" s="1445">
        <v>20</v>
      </c>
      <c r="B119" s="1480" t="s">
        <v>1054</v>
      </c>
      <c r="C119" s="1338"/>
      <c r="D119" s="1352"/>
      <c r="E119" s="1352"/>
      <c r="F119" s="1352"/>
      <c r="G119" s="1621"/>
      <c r="H119" s="1352"/>
      <c r="I119" s="1458"/>
      <c r="J119" s="1537">
        <f>SUM(G120:G121)/2</f>
        <v>100.40567970204843</v>
      </c>
    </row>
    <row r="120" spans="1:9" s="1451" customFormat="1" ht="16.5">
      <c r="A120" s="389"/>
      <c r="B120" s="1613" t="s">
        <v>1055</v>
      </c>
      <c r="C120" s="1456" t="s">
        <v>6</v>
      </c>
      <c r="D120" s="1476">
        <v>35.1</v>
      </c>
      <c r="E120" s="1476">
        <v>35.8</v>
      </c>
      <c r="F120" s="1476">
        <v>35.1</v>
      </c>
      <c r="G120" s="1621">
        <f t="shared" si="2"/>
        <v>98.04469273743018</v>
      </c>
      <c r="H120" s="1476">
        <v>36.5</v>
      </c>
      <c r="I120" s="1602"/>
    </row>
    <row r="121" spans="1:10" s="397" customFormat="1" ht="16.5">
      <c r="A121" s="389"/>
      <c r="B121" s="1613" t="s">
        <v>1056</v>
      </c>
      <c r="C121" s="1532" t="s">
        <v>413</v>
      </c>
      <c r="D121" s="1476">
        <v>1051.5</v>
      </c>
      <c r="E121" s="1466">
        <v>900</v>
      </c>
      <c r="F121" s="1618">
        <v>924.9</v>
      </c>
      <c r="G121" s="1621">
        <f t="shared" si="2"/>
        <v>102.76666666666668</v>
      </c>
      <c r="H121" s="1466">
        <v>970</v>
      </c>
      <c r="I121" s="1602"/>
      <c r="J121" s="1451"/>
    </row>
    <row r="122" spans="1:9" s="1486" customFormat="1" ht="16.5">
      <c r="A122" s="1493">
        <v>21</v>
      </c>
      <c r="B122" s="1494" t="s">
        <v>1073</v>
      </c>
      <c r="C122" s="1495" t="s">
        <v>1074</v>
      </c>
      <c r="D122" s="1472">
        <v>18</v>
      </c>
      <c r="E122" s="1497">
        <v>19</v>
      </c>
      <c r="F122" s="1497">
        <v>16</v>
      </c>
      <c r="G122" s="1450">
        <f>F122/E122*100</f>
        <v>84.21052631578947</v>
      </c>
      <c r="H122" s="1497">
        <v>15</v>
      </c>
      <c r="I122" s="1497"/>
    </row>
    <row r="123" spans="1:10" s="397" customFormat="1" ht="33" hidden="1">
      <c r="A123" s="1482"/>
      <c r="B123" s="1483" t="s">
        <v>1108</v>
      </c>
      <c r="C123" s="1456"/>
      <c r="D123" s="1487"/>
      <c r="E123" s="1487"/>
      <c r="F123" s="1466"/>
      <c r="G123" s="1621" t="e">
        <f t="shared" si="2"/>
        <v>#DIV/0!</v>
      </c>
      <c r="H123" s="1487"/>
      <c r="I123" s="1455"/>
      <c r="J123" s="1451"/>
    </row>
    <row r="124" spans="1:10" s="397" customFormat="1" ht="35.25" customHeight="1" hidden="1">
      <c r="A124" s="1484"/>
      <c r="B124" s="1485" t="s">
        <v>1061</v>
      </c>
      <c r="C124" s="1479" t="s">
        <v>1057</v>
      </c>
      <c r="D124" s="1411"/>
      <c r="E124" s="1411"/>
      <c r="F124" s="1411"/>
      <c r="G124" s="1621" t="e">
        <f t="shared" si="2"/>
        <v>#DIV/0!</v>
      </c>
      <c r="H124" s="1411"/>
      <c r="I124" s="1455"/>
      <c r="J124" s="1451"/>
    </row>
    <row r="125" spans="1:9" ht="33" customHeight="1" hidden="1">
      <c r="A125" s="1484"/>
      <c r="B125" s="1485" t="s">
        <v>1084</v>
      </c>
      <c r="C125" s="1479"/>
      <c r="D125" s="1487"/>
      <c r="E125" s="1487"/>
      <c r="F125" s="1466"/>
      <c r="G125" s="1621" t="e">
        <f t="shared" si="2"/>
        <v>#DIV/0!</v>
      </c>
      <c r="H125" s="1487"/>
      <c r="I125" s="1452"/>
    </row>
    <row r="126" spans="1:10" ht="16.5">
      <c r="A126" s="1482"/>
      <c r="B126" s="1635" t="s">
        <v>1115</v>
      </c>
      <c r="C126" s="1456"/>
      <c r="D126" s="1466"/>
      <c r="E126" s="1466"/>
      <c r="F126" s="1465" t="s">
        <v>1116</v>
      </c>
      <c r="G126" s="1621"/>
      <c r="H126" s="1466"/>
      <c r="I126" s="1452"/>
      <c r="J126" s="559"/>
    </row>
    <row r="127" spans="1:10" ht="16.5">
      <c r="A127" s="1482"/>
      <c r="B127" s="1635" t="s">
        <v>1127</v>
      </c>
      <c r="C127" s="1456"/>
      <c r="D127" s="1466"/>
      <c r="E127" s="1466"/>
      <c r="F127" s="1465" t="s">
        <v>1117</v>
      </c>
      <c r="G127" s="1621"/>
      <c r="H127" s="1466"/>
      <c r="I127" s="1452"/>
      <c r="J127" s="559"/>
    </row>
    <row r="128" spans="1:9" ht="16.5">
      <c r="A128" s="1445">
        <v>22</v>
      </c>
      <c r="B128" s="1446" t="s">
        <v>1058</v>
      </c>
      <c r="C128" s="1338"/>
      <c r="D128" s="1458"/>
      <c r="E128" s="1458"/>
      <c r="F128" s="1458"/>
      <c r="G128" s="1621"/>
      <c r="H128" s="1458"/>
      <c r="I128" s="1458"/>
    </row>
    <row r="129" spans="1:10" ht="33">
      <c r="A129" s="389"/>
      <c r="B129" s="435" t="s">
        <v>1059</v>
      </c>
      <c r="C129" s="1456" t="s">
        <v>6</v>
      </c>
      <c r="D129" s="1458">
        <v>93</v>
      </c>
      <c r="E129" s="1458">
        <v>90</v>
      </c>
      <c r="F129" s="1458">
        <v>90</v>
      </c>
      <c r="G129" s="1621">
        <f t="shared" si="2"/>
        <v>100</v>
      </c>
      <c r="H129" s="1458">
        <v>90</v>
      </c>
      <c r="I129" s="1603"/>
      <c r="J129" s="1637">
        <f>SUM(G129:G131)/3</f>
        <v>100</v>
      </c>
    </row>
    <row r="130" spans="1:9" ht="33">
      <c r="A130" s="389"/>
      <c r="B130" s="435" t="s">
        <v>1087</v>
      </c>
      <c r="C130" s="1456" t="s">
        <v>6</v>
      </c>
      <c r="D130" s="1458">
        <v>100</v>
      </c>
      <c r="E130" s="1458">
        <v>100</v>
      </c>
      <c r="F130" s="1458">
        <v>100</v>
      </c>
      <c r="G130" s="1621">
        <f t="shared" si="2"/>
        <v>100</v>
      </c>
      <c r="H130" s="1458">
        <v>100</v>
      </c>
      <c r="I130" s="1452"/>
    </row>
    <row r="131" spans="1:9" ht="33">
      <c r="A131" s="389"/>
      <c r="B131" s="435" t="s">
        <v>1082</v>
      </c>
      <c r="C131" s="1456" t="s">
        <v>6</v>
      </c>
      <c r="D131" s="1458">
        <v>100</v>
      </c>
      <c r="E131" s="1458">
        <v>100</v>
      </c>
      <c r="F131" s="1458">
        <v>100</v>
      </c>
      <c r="G131" s="1621">
        <f t="shared" si="2"/>
        <v>100</v>
      </c>
      <c r="H131" s="1458">
        <v>100</v>
      </c>
      <c r="I131" s="1452"/>
    </row>
    <row r="132" ht="21.75" customHeight="1"/>
    <row r="133" ht="21.75" customHeight="1"/>
    <row r="134" ht="21.75" customHeight="1"/>
    <row r="135" ht="21.75" customHeight="1"/>
    <row r="136" ht="21.75" customHeight="1"/>
    <row r="137" spans="2:10" s="1341" customFormat="1" ht="21" customHeight="1">
      <c r="B137" s="559"/>
      <c r="D137" s="1443"/>
      <c r="E137" s="1443"/>
      <c r="F137" s="1443"/>
      <c r="G137" s="1443"/>
      <c r="H137" s="1443"/>
      <c r="J137" s="1620"/>
    </row>
    <row r="138" spans="2:10" s="1341" customFormat="1" ht="21" customHeight="1">
      <c r="B138" s="559"/>
      <c r="D138" s="1443"/>
      <c r="E138" s="1443"/>
      <c r="F138" s="1443"/>
      <c r="G138" s="1443"/>
      <c r="H138" s="1443"/>
      <c r="J138" s="1620"/>
    </row>
    <row r="139" spans="2:10" s="1341" customFormat="1" ht="21" customHeight="1">
      <c r="B139" s="559"/>
      <c r="D139" s="1443"/>
      <c r="E139" s="1443"/>
      <c r="F139" s="1443"/>
      <c r="G139" s="1443"/>
      <c r="H139" s="1443"/>
      <c r="J139" s="1620"/>
    </row>
    <row r="140" spans="2:10" s="1341" customFormat="1" ht="21" customHeight="1">
      <c r="B140" s="559"/>
      <c r="D140" s="1443"/>
      <c r="E140" s="1443"/>
      <c r="F140" s="1443"/>
      <c r="G140" s="1443"/>
      <c r="H140" s="1443"/>
      <c r="J140" s="1620"/>
    </row>
    <row r="141" spans="2:10" s="1341" customFormat="1" ht="21" customHeight="1">
      <c r="B141" s="559"/>
      <c r="D141" s="1443"/>
      <c r="E141" s="1443"/>
      <c r="F141" s="1443"/>
      <c r="G141" s="1443"/>
      <c r="H141" s="1443"/>
      <c r="J141" s="1620"/>
    </row>
    <row r="142" spans="2:10" s="1341" customFormat="1" ht="21" customHeight="1">
      <c r="B142" s="559"/>
      <c r="D142" s="1443"/>
      <c r="E142" s="1443"/>
      <c r="F142" s="1443"/>
      <c r="G142" s="1443"/>
      <c r="H142" s="1443"/>
      <c r="J142" s="1620"/>
    </row>
    <row r="143" spans="2:10" s="1341" customFormat="1" ht="21" customHeight="1">
      <c r="B143" s="559"/>
      <c r="D143" s="1443"/>
      <c r="E143" s="1443"/>
      <c r="F143" s="1443"/>
      <c r="G143" s="1443"/>
      <c r="H143" s="1443"/>
      <c r="J143" s="1620"/>
    </row>
    <row r="144" spans="2:10" s="1341" customFormat="1" ht="21" customHeight="1">
      <c r="B144" s="559"/>
      <c r="D144" s="1443"/>
      <c r="E144" s="1443"/>
      <c r="F144" s="1443"/>
      <c r="G144" s="1443"/>
      <c r="H144" s="1443"/>
      <c r="J144" s="1620"/>
    </row>
    <row r="145" spans="2:10" s="1341" customFormat="1" ht="21" customHeight="1">
      <c r="B145" s="559"/>
      <c r="D145" s="1443"/>
      <c r="E145" s="1443"/>
      <c r="F145" s="1443"/>
      <c r="G145" s="1443"/>
      <c r="H145" s="1443"/>
      <c r="J145" s="1620"/>
    </row>
    <row r="146" spans="2:10" s="1341" customFormat="1" ht="21" customHeight="1">
      <c r="B146" s="559"/>
      <c r="D146" s="1443"/>
      <c r="E146" s="1443"/>
      <c r="F146" s="1443"/>
      <c r="G146" s="1443"/>
      <c r="H146" s="1443"/>
      <c r="J146" s="1620"/>
    </row>
    <row r="147" spans="2:10" s="1341" customFormat="1" ht="21" customHeight="1">
      <c r="B147" s="559"/>
      <c r="D147" s="1443"/>
      <c r="E147" s="1443"/>
      <c r="F147" s="1443"/>
      <c r="G147" s="1443"/>
      <c r="H147" s="1443"/>
      <c r="J147" s="1620"/>
    </row>
    <row r="148" spans="2:10" s="1341" customFormat="1" ht="21" customHeight="1">
      <c r="B148" s="559"/>
      <c r="D148" s="1443"/>
      <c r="E148" s="1443"/>
      <c r="F148" s="1443"/>
      <c r="G148" s="1443"/>
      <c r="H148" s="1443"/>
      <c r="J148" s="1620"/>
    </row>
    <row r="149" spans="2:10" s="1341" customFormat="1" ht="21" customHeight="1">
      <c r="B149" s="559"/>
      <c r="D149" s="1443"/>
      <c r="E149" s="1443"/>
      <c r="F149" s="1443"/>
      <c r="G149" s="1443"/>
      <c r="H149" s="1443"/>
      <c r="J149" s="1620"/>
    </row>
    <row r="150" spans="2:10" s="1341" customFormat="1" ht="21" customHeight="1">
      <c r="B150" s="559"/>
      <c r="D150" s="1443"/>
      <c r="E150" s="1443"/>
      <c r="F150" s="1443"/>
      <c r="G150" s="1443"/>
      <c r="H150" s="1443"/>
      <c r="J150" s="1620"/>
    </row>
    <row r="151" spans="2:10" s="1341" customFormat="1" ht="21" customHeight="1">
      <c r="B151" s="559"/>
      <c r="D151" s="1443"/>
      <c r="E151" s="1443"/>
      <c r="F151" s="1443"/>
      <c r="G151" s="1443"/>
      <c r="H151" s="1443"/>
      <c r="J151" s="1620"/>
    </row>
    <row r="152" spans="2:10" s="1341" customFormat="1" ht="21" customHeight="1">
      <c r="B152" s="559"/>
      <c r="D152" s="1443"/>
      <c r="E152" s="1443"/>
      <c r="F152" s="1443"/>
      <c r="G152" s="1443"/>
      <c r="H152" s="1443"/>
      <c r="J152" s="1620"/>
    </row>
    <row r="153" spans="2:10" s="1341" customFormat="1" ht="21" customHeight="1">
      <c r="B153" s="559"/>
      <c r="D153" s="1443"/>
      <c r="E153" s="1443"/>
      <c r="F153" s="1443"/>
      <c r="G153" s="1443"/>
      <c r="H153" s="1443"/>
      <c r="J153" s="1620"/>
    </row>
    <row r="154" spans="2:10" s="1341" customFormat="1" ht="21" customHeight="1">
      <c r="B154" s="559"/>
      <c r="D154" s="1443"/>
      <c r="E154" s="1443"/>
      <c r="F154" s="1443"/>
      <c r="G154" s="1443"/>
      <c r="H154" s="1443"/>
      <c r="J154" s="1620"/>
    </row>
    <row r="155" spans="2:10" s="1341" customFormat="1" ht="21" customHeight="1">
      <c r="B155" s="559"/>
      <c r="D155" s="1443"/>
      <c r="E155" s="1443"/>
      <c r="F155" s="1443"/>
      <c r="G155" s="1443"/>
      <c r="H155" s="1443"/>
      <c r="J155" s="1620"/>
    </row>
    <row r="156" spans="2:10" s="1341" customFormat="1" ht="21" customHeight="1">
      <c r="B156" s="559"/>
      <c r="D156" s="1443"/>
      <c r="E156" s="1443"/>
      <c r="F156" s="1443"/>
      <c r="G156" s="1443"/>
      <c r="H156" s="1443"/>
      <c r="J156" s="1620"/>
    </row>
    <row r="157" spans="2:10" s="1341" customFormat="1" ht="21" customHeight="1">
      <c r="B157" s="559"/>
      <c r="D157" s="1443"/>
      <c r="E157" s="1443"/>
      <c r="F157" s="1443"/>
      <c r="G157" s="1443"/>
      <c r="H157" s="1443"/>
      <c r="J157" s="1620"/>
    </row>
    <row r="158" spans="2:10" s="1341" customFormat="1" ht="21" customHeight="1">
      <c r="B158" s="559"/>
      <c r="D158" s="1443"/>
      <c r="E158" s="1443"/>
      <c r="F158" s="1443"/>
      <c r="G158" s="1443"/>
      <c r="H158" s="1443"/>
      <c r="J158" s="1620"/>
    </row>
    <row r="159" spans="2:10" s="1341" customFormat="1" ht="21" customHeight="1">
      <c r="B159" s="559"/>
      <c r="D159" s="1443"/>
      <c r="E159" s="1443"/>
      <c r="F159" s="1443"/>
      <c r="G159" s="1443"/>
      <c r="H159" s="1443"/>
      <c r="J159" s="1620"/>
    </row>
    <row r="160" spans="2:10" s="1341" customFormat="1" ht="21" customHeight="1">
      <c r="B160" s="559"/>
      <c r="D160" s="1443"/>
      <c r="E160" s="1443"/>
      <c r="F160" s="1443"/>
      <c r="G160" s="1443"/>
      <c r="H160" s="1443"/>
      <c r="J160" s="1620"/>
    </row>
    <row r="161" spans="2:10" s="1341" customFormat="1" ht="21" customHeight="1">
      <c r="B161" s="559"/>
      <c r="D161" s="1443"/>
      <c r="E161" s="1443"/>
      <c r="F161" s="1443"/>
      <c r="G161" s="1443"/>
      <c r="H161" s="1443"/>
      <c r="J161" s="1620"/>
    </row>
    <row r="162" spans="2:10" s="1341" customFormat="1" ht="21" customHeight="1">
      <c r="B162" s="559"/>
      <c r="D162" s="1443"/>
      <c r="E162" s="1443"/>
      <c r="F162" s="1443"/>
      <c r="G162" s="1443"/>
      <c r="H162" s="1443"/>
      <c r="J162" s="1620"/>
    </row>
    <row r="163" spans="2:10" s="1341" customFormat="1" ht="21" customHeight="1">
      <c r="B163" s="559"/>
      <c r="D163" s="1443"/>
      <c r="E163" s="1443"/>
      <c r="F163" s="1443"/>
      <c r="G163" s="1443"/>
      <c r="H163" s="1443"/>
      <c r="J163" s="1620"/>
    </row>
    <row r="164" spans="2:10" s="1341" customFormat="1" ht="21" customHeight="1">
      <c r="B164" s="559"/>
      <c r="D164" s="1443"/>
      <c r="E164" s="1443"/>
      <c r="F164" s="1443"/>
      <c r="G164" s="1443"/>
      <c r="H164" s="1443"/>
      <c r="J164" s="1620"/>
    </row>
    <row r="165" spans="2:10" s="1341" customFormat="1" ht="21" customHeight="1">
      <c r="B165" s="559"/>
      <c r="D165" s="1443"/>
      <c r="E165" s="1443"/>
      <c r="F165" s="1443"/>
      <c r="G165" s="1443"/>
      <c r="H165" s="1443"/>
      <c r="J165" s="1620"/>
    </row>
    <row r="166" spans="2:10" s="1341" customFormat="1" ht="21" customHeight="1">
      <c r="B166" s="559"/>
      <c r="D166" s="1443"/>
      <c r="E166" s="1443"/>
      <c r="F166" s="1443"/>
      <c r="G166" s="1443"/>
      <c r="H166" s="1443"/>
      <c r="J166" s="1620"/>
    </row>
    <row r="167" spans="2:10" s="1341" customFormat="1" ht="21" customHeight="1">
      <c r="B167" s="559"/>
      <c r="D167" s="1443"/>
      <c r="E167" s="1443"/>
      <c r="F167" s="1443"/>
      <c r="G167" s="1443"/>
      <c r="H167" s="1443"/>
      <c r="J167" s="1620"/>
    </row>
    <row r="168" spans="2:10" s="1341" customFormat="1" ht="21" customHeight="1">
      <c r="B168" s="559"/>
      <c r="D168" s="1443"/>
      <c r="E168" s="1443"/>
      <c r="F168" s="1443"/>
      <c r="G168" s="1443"/>
      <c r="H168" s="1443"/>
      <c r="J168" s="1620"/>
    </row>
    <row r="169" spans="2:10" s="1341" customFormat="1" ht="21" customHeight="1">
      <c r="B169" s="559"/>
      <c r="D169" s="1443"/>
      <c r="E169" s="1443"/>
      <c r="F169" s="1443"/>
      <c r="G169" s="1443"/>
      <c r="H169" s="1443"/>
      <c r="J169" s="1620"/>
    </row>
    <row r="170" spans="2:10" s="1341" customFormat="1" ht="21" customHeight="1">
      <c r="B170" s="559"/>
      <c r="D170" s="1443"/>
      <c r="E170" s="1443"/>
      <c r="F170" s="1443"/>
      <c r="G170" s="1443"/>
      <c r="H170" s="1443"/>
      <c r="J170" s="1620"/>
    </row>
    <row r="171" spans="2:10" s="1341" customFormat="1" ht="21" customHeight="1">
      <c r="B171" s="559"/>
      <c r="D171" s="1443"/>
      <c r="E171" s="1443"/>
      <c r="F171" s="1443"/>
      <c r="G171" s="1443"/>
      <c r="H171" s="1443"/>
      <c r="J171" s="1620"/>
    </row>
    <row r="172" spans="2:10" s="1341" customFormat="1" ht="21" customHeight="1">
      <c r="B172" s="559"/>
      <c r="D172" s="1443"/>
      <c r="E172" s="1443"/>
      <c r="F172" s="1443"/>
      <c r="G172" s="1443"/>
      <c r="H172" s="1443"/>
      <c r="J172" s="1620"/>
    </row>
    <row r="173" spans="2:10" s="1341" customFormat="1" ht="21" customHeight="1">
      <c r="B173" s="559"/>
      <c r="D173" s="1443"/>
      <c r="E173" s="1443"/>
      <c r="F173" s="1443"/>
      <c r="G173" s="1443"/>
      <c r="H173" s="1443"/>
      <c r="J173" s="1620"/>
    </row>
    <row r="174" spans="2:10" s="1341" customFormat="1" ht="21" customHeight="1">
      <c r="B174" s="559"/>
      <c r="D174" s="1443"/>
      <c r="E174" s="1443"/>
      <c r="F174" s="1443"/>
      <c r="G174" s="1443"/>
      <c r="H174" s="1443"/>
      <c r="J174" s="1620"/>
    </row>
    <row r="175" spans="2:10" s="1341" customFormat="1" ht="21" customHeight="1">
      <c r="B175" s="559"/>
      <c r="D175" s="1443"/>
      <c r="E175" s="1443"/>
      <c r="F175" s="1443"/>
      <c r="G175" s="1443"/>
      <c r="H175" s="1443"/>
      <c r="J175" s="1620"/>
    </row>
    <row r="176" spans="2:10" s="1341" customFormat="1" ht="21" customHeight="1">
      <c r="B176" s="559"/>
      <c r="D176" s="1443"/>
      <c r="E176" s="1443"/>
      <c r="F176" s="1443"/>
      <c r="G176" s="1443"/>
      <c r="H176" s="1443"/>
      <c r="J176" s="1620"/>
    </row>
    <row r="177" spans="2:10" s="1341" customFormat="1" ht="21" customHeight="1">
      <c r="B177" s="559"/>
      <c r="D177" s="1443"/>
      <c r="E177" s="1443"/>
      <c r="F177" s="1443"/>
      <c r="G177" s="1443"/>
      <c r="H177" s="1443"/>
      <c r="J177" s="1620"/>
    </row>
    <row r="178" spans="2:10" s="1341" customFormat="1" ht="21" customHeight="1">
      <c r="B178" s="559"/>
      <c r="D178" s="1443"/>
      <c r="E178" s="1443"/>
      <c r="F178" s="1443"/>
      <c r="G178" s="1443"/>
      <c r="H178" s="1443"/>
      <c r="J178" s="1620"/>
    </row>
    <row r="179" spans="2:10" s="1341" customFormat="1" ht="21" customHeight="1">
      <c r="B179" s="559"/>
      <c r="D179" s="1443"/>
      <c r="E179" s="1443"/>
      <c r="F179" s="1443"/>
      <c r="G179" s="1443"/>
      <c r="H179" s="1443"/>
      <c r="J179" s="1620"/>
    </row>
    <row r="180" spans="2:10" s="1341" customFormat="1" ht="21" customHeight="1">
      <c r="B180" s="559"/>
      <c r="D180" s="1443"/>
      <c r="E180" s="1443"/>
      <c r="F180" s="1443"/>
      <c r="G180" s="1443"/>
      <c r="H180" s="1443"/>
      <c r="J180" s="1620"/>
    </row>
    <row r="181" spans="2:10" s="1341" customFormat="1" ht="21" customHeight="1">
      <c r="B181" s="559"/>
      <c r="D181" s="1443"/>
      <c r="E181" s="1443"/>
      <c r="F181" s="1443"/>
      <c r="G181" s="1443"/>
      <c r="H181" s="1443"/>
      <c r="J181" s="1620"/>
    </row>
    <row r="182" spans="2:10" s="1341" customFormat="1" ht="21" customHeight="1">
      <c r="B182" s="559"/>
      <c r="D182" s="1443"/>
      <c r="E182" s="1443"/>
      <c r="F182" s="1443"/>
      <c r="G182" s="1443"/>
      <c r="H182" s="1443"/>
      <c r="J182" s="1620"/>
    </row>
  </sheetData>
  <sheetProtection/>
  <mergeCells count="20">
    <mergeCell ref="A14:I14"/>
    <mergeCell ref="A16:A17"/>
    <mergeCell ref="B16:B17"/>
    <mergeCell ref="C16:C17"/>
    <mergeCell ref="D16:D17"/>
    <mergeCell ref="E16:G16"/>
    <mergeCell ref="H16:H17"/>
    <mergeCell ref="I16:I17"/>
    <mergeCell ref="A8:I8"/>
    <mergeCell ref="A9:I9"/>
    <mergeCell ref="A10:I10"/>
    <mergeCell ref="A11:I11"/>
    <mergeCell ref="A12:I12"/>
    <mergeCell ref="A13:I13"/>
    <mergeCell ref="B2:C2"/>
    <mergeCell ref="A3:C3"/>
    <mergeCell ref="A4:I4"/>
    <mergeCell ref="A5:I5"/>
    <mergeCell ref="A6:I6"/>
    <mergeCell ref="A7:I7"/>
  </mergeCells>
  <printOptions/>
  <pageMargins left="0.7" right="0.7" top="0.75" bottom="0.75" header="0.3" footer="0.3"/>
  <pageSetup orientation="portrait" paperSize="9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O326"/>
  <sheetViews>
    <sheetView zoomScalePageLayoutView="0" workbookViewId="0" topLeftCell="A8">
      <selection activeCell="D20" sqref="D20"/>
    </sheetView>
  </sheetViews>
  <sheetFormatPr defaultColWidth="7.8515625" defaultRowHeight="12.75"/>
  <cols>
    <col min="1" max="1" width="5.421875" style="1341" customWidth="1"/>
    <col min="2" max="2" width="51.8515625" style="559" customWidth="1"/>
    <col min="3" max="3" width="11.57421875" style="1341" customWidth="1"/>
    <col min="4" max="4" width="12.28125" style="1443" customWidth="1"/>
    <col min="5" max="5" width="13.00390625" style="1443" customWidth="1"/>
    <col min="6" max="6" width="12.7109375" style="1443" customWidth="1"/>
    <col min="7" max="7" width="10.140625" style="1443" customWidth="1"/>
    <col min="8" max="8" width="11.7109375" style="1443" customWidth="1"/>
    <col min="9" max="9" width="12.28125" style="1341" customWidth="1"/>
    <col min="10" max="10" width="15.140625" style="1341" hidden="1" customWidth="1"/>
    <col min="11" max="11" width="14.28125" style="559" customWidth="1"/>
    <col min="12" max="16384" width="7.8515625" style="559" customWidth="1"/>
  </cols>
  <sheetData>
    <row r="1" spans="2:10" s="331" customFormat="1" ht="22.5" customHeight="1" hidden="1">
      <c r="B1" s="347"/>
      <c r="C1" s="348"/>
      <c r="D1" s="1441"/>
      <c r="E1" s="1441"/>
      <c r="F1" s="1441"/>
      <c r="G1" s="1441"/>
      <c r="H1" s="1441"/>
      <c r="I1" s="348"/>
      <c r="J1" s="348"/>
    </row>
    <row r="2" spans="2:8" s="331" customFormat="1" ht="12.75" customHeight="1" hidden="1">
      <c r="B2" s="1764" t="s">
        <v>476</v>
      </c>
      <c r="C2" s="1764"/>
      <c r="D2" s="354"/>
      <c r="E2" s="354"/>
      <c r="F2" s="354"/>
      <c r="G2" s="354"/>
      <c r="H2" s="354"/>
    </row>
    <row r="3" spans="1:10" s="331" customFormat="1" ht="22.5" customHeight="1" hidden="1">
      <c r="A3" s="1765" t="s">
        <v>759</v>
      </c>
      <c r="B3" s="1765"/>
      <c r="C3" s="1765"/>
      <c r="D3" s="1442"/>
      <c r="E3" s="1442"/>
      <c r="F3" s="1442"/>
      <c r="G3" s="1442"/>
      <c r="H3" s="1442"/>
      <c r="I3" s="1276"/>
      <c r="J3" s="1276"/>
    </row>
    <row r="4" spans="1:10" s="331" customFormat="1" ht="22.5" customHeight="1" hidden="1">
      <c r="A4" s="1765" t="s">
        <v>1044</v>
      </c>
      <c r="B4" s="1765"/>
      <c r="C4" s="1765"/>
      <c r="D4" s="1765"/>
      <c r="E4" s="1765"/>
      <c r="F4" s="1765"/>
      <c r="G4" s="1765"/>
      <c r="H4" s="1765"/>
      <c r="I4" s="1765"/>
      <c r="J4" s="1765"/>
    </row>
    <row r="5" spans="1:11" ht="15" customHeight="1" hidden="1">
      <c r="A5" s="1890" t="s">
        <v>1064</v>
      </c>
      <c r="B5" s="1890"/>
      <c r="C5" s="1890"/>
      <c r="D5" s="1890"/>
      <c r="E5" s="1890"/>
      <c r="F5" s="1890"/>
      <c r="G5" s="1890"/>
      <c r="H5" s="1890"/>
      <c r="I5" s="1890"/>
      <c r="J5" s="1890"/>
      <c r="K5" s="559">
        <f>13/17</f>
        <v>0.7647058823529411</v>
      </c>
    </row>
    <row r="6" spans="1:11" ht="16.5" hidden="1">
      <c r="A6" s="1897" t="s">
        <v>1041</v>
      </c>
      <c r="B6" s="1897"/>
      <c r="C6" s="1897"/>
      <c r="D6" s="1897"/>
      <c r="E6" s="1897"/>
      <c r="F6" s="1897"/>
      <c r="G6" s="1897"/>
      <c r="H6" s="1897"/>
      <c r="I6" s="1897"/>
      <c r="J6" s="1897"/>
      <c r="K6" s="559">
        <f>2/17</f>
        <v>0.11764705882352941</v>
      </c>
    </row>
    <row r="7" spans="1:10" ht="18.75" customHeight="1" hidden="1">
      <c r="A7" s="1890" t="s">
        <v>1044</v>
      </c>
      <c r="B7" s="1890"/>
      <c r="C7" s="1890"/>
      <c r="D7" s="1890"/>
      <c r="E7" s="1890"/>
      <c r="F7" s="1890"/>
      <c r="G7" s="1890"/>
      <c r="H7" s="1890"/>
      <c r="I7" s="1890"/>
      <c r="J7" s="1890"/>
    </row>
    <row r="8" spans="1:10" ht="27.75" customHeight="1">
      <c r="A8" s="1800" t="s">
        <v>1099</v>
      </c>
      <c r="B8" s="1800"/>
      <c r="C8" s="1800"/>
      <c r="D8" s="1800"/>
      <c r="E8" s="1800"/>
      <c r="F8" s="1800"/>
      <c r="G8" s="1800"/>
      <c r="H8" s="1800"/>
      <c r="I8" s="1800"/>
      <c r="J8" s="1800"/>
    </row>
    <row r="9" spans="1:10" ht="36.75" customHeight="1" hidden="1">
      <c r="A9" s="1800" t="s">
        <v>1098</v>
      </c>
      <c r="B9" s="1800"/>
      <c r="C9" s="1800"/>
      <c r="D9" s="1800"/>
      <c r="E9" s="1800"/>
      <c r="F9" s="1800"/>
      <c r="G9" s="1800"/>
      <c r="H9" s="1800"/>
      <c r="I9" s="1800"/>
      <c r="J9" s="1800"/>
    </row>
    <row r="10" spans="1:10" ht="16.5" hidden="1">
      <c r="A10" s="1897" t="s">
        <v>1100</v>
      </c>
      <c r="B10" s="1897"/>
      <c r="C10" s="1897"/>
      <c r="D10" s="1897"/>
      <c r="E10" s="1897"/>
      <c r="F10" s="1897"/>
      <c r="G10" s="1897"/>
      <c r="H10" s="1897"/>
      <c r="I10" s="1897"/>
      <c r="J10" s="1897"/>
    </row>
    <row r="11" spans="1:10" ht="16.5" hidden="1">
      <c r="A11" s="1891" t="s">
        <v>1097</v>
      </c>
      <c r="B11" s="1891"/>
      <c r="C11" s="1891"/>
      <c r="D11" s="1891"/>
      <c r="E11" s="1891"/>
      <c r="F11" s="1891"/>
      <c r="G11" s="1891"/>
      <c r="H11" s="1891"/>
      <c r="I11" s="1891"/>
      <c r="J11" s="1891"/>
    </row>
    <row r="12" spans="1:10" ht="16.5" hidden="1">
      <c r="A12" s="1891" t="s">
        <v>1088</v>
      </c>
      <c r="B12" s="1891"/>
      <c r="C12" s="1891"/>
      <c r="D12" s="1891"/>
      <c r="E12" s="1891"/>
      <c r="F12" s="1891"/>
      <c r="G12" s="1891"/>
      <c r="H12" s="1891"/>
      <c r="I12" s="1891"/>
      <c r="J12" s="1891"/>
    </row>
    <row r="13" spans="1:10" ht="16.5" hidden="1">
      <c r="A13" s="1891" t="s">
        <v>1089</v>
      </c>
      <c r="B13" s="1891"/>
      <c r="C13" s="1891"/>
      <c r="D13" s="1891"/>
      <c r="E13" s="1891"/>
      <c r="F13" s="1891"/>
      <c r="G13" s="1891"/>
      <c r="H13" s="1891"/>
      <c r="I13" s="1891"/>
      <c r="J13" s="1891"/>
    </row>
    <row r="14" spans="1:10" ht="16.5">
      <c r="A14" s="1891" t="s">
        <v>1090</v>
      </c>
      <c r="B14" s="1891"/>
      <c r="C14" s="1891"/>
      <c r="D14" s="1891"/>
      <c r="E14" s="1891"/>
      <c r="F14" s="1891"/>
      <c r="G14" s="1891"/>
      <c r="H14" s="1891"/>
      <c r="I14" s="1891"/>
      <c r="J14" s="1891"/>
    </row>
    <row r="15" ht="25.5" customHeight="1"/>
    <row r="16" spans="1:10" s="1444" customFormat="1" ht="20.25" customHeight="1">
      <c r="A16" s="1867" t="s">
        <v>0</v>
      </c>
      <c r="B16" s="1867" t="s">
        <v>211</v>
      </c>
      <c r="C16" s="1867" t="s">
        <v>104</v>
      </c>
      <c r="D16" s="1865" t="s">
        <v>1091</v>
      </c>
      <c r="E16" s="1900" t="s">
        <v>1063</v>
      </c>
      <c r="F16" s="1901"/>
      <c r="G16" s="1902"/>
      <c r="H16" s="1865" t="s">
        <v>1094</v>
      </c>
      <c r="I16" s="1865" t="s">
        <v>1086</v>
      </c>
      <c r="J16" s="1865" t="s">
        <v>1031</v>
      </c>
    </row>
    <row r="17" spans="1:10" s="1444" customFormat="1" ht="42.75" customHeight="1">
      <c r="A17" s="1898" t="s">
        <v>0</v>
      </c>
      <c r="B17" s="1898"/>
      <c r="C17" s="1899"/>
      <c r="D17" s="1866"/>
      <c r="E17" s="1281" t="s">
        <v>1005</v>
      </c>
      <c r="F17" s="1281" t="s">
        <v>1035</v>
      </c>
      <c r="G17" s="1281" t="s">
        <v>1095</v>
      </c>
      <c r="H17" s="1866"/>
      <c r="I17" s="1866"/>
      <c r="J17" s="1866"/>
    </row>
    <row r="18" spans="1:10" s="565" customFormat="1" ht="16.5">
      <c r="A18" s="1445" t="s">
        <v>29</v>
      </c>
      <c r="B18" s="1446" t="s">
        <v>384</v>
      </c>
      <c r="C18" s="1338"/>
      <c r="D18" s="1447"/>
      <c r="E18" s="1447"/>
      <c r="F18" s="1447"/>
      <c r="G18" s="1447"/>
      <c r="H18" s="1447"/>
      <c r="I18" s="1338"/>
      <c r="J18" s="1338"/>
    </row>
    <row r="19" spans="1:10" s="1451" customFormat="1" ht="29.25" customHeight="1">
      <c r="A19" s="386">
        <v>1</v>
      </c>
      <c r="B19" s="1448" t="s">
        <v>385</v>
      </c>
      <c r="C19" s="1449" t="s">
        <v>293</v>
      </c>
      <c r="D19" s="1450">
        <f>D21+D22+D24</f>
        <v>7906.683399999999</v>
      </c>
      <c r="E19" s="1450">
        <f>E21+E22+E24</f>
        <v>8571.150000000001</v>
      </c>
      <c r="F19" s="1450">
        <f>F21+F22+F24</f>
        <v>8556.7</v>
      </c>
      <c r="G19" s="1539">
        <f>F19/E19%</f>
        <v>99.83141118753025</v>
      </c>
      <c r="H19" s="1450">
        <f>H21+H22+H24</f>
        <v>9511.3</v>
      </c>
      <c r="I19" s="1587"/>
      <c r="J19" s="1488"/>
    </row>
    <row r="20" spans="1:10" ht="16.5">
      <c r="A20" s="1452"/>
      <c r="B20" s="1453" t="s">
        <v>141</v>
      </c>
      <c r="C20" s="1344"/>
      <c r="D20" s="1523"/>
      <c r="E20" s="1523"/>
      <c r="F20" s="1523"/>
      <c r="G20" s="1523"/>
      <c r="H20" s="1523"/>
      <c r="I20" s="1344"/>
      <c r="J20" s="1344"/>
    </row>
    <row r="21" spans="1:10" s="1546" customFormat="1" ht="16.5">
      <c r="A21" s="1540"/>
      <c r="B21" s="1541" t="s">
        <v>386</v>
      </c>
      <c r="C21" s="1542" t="s">
        <v>293</v>
      </c>
      <c r="D21" s="1543">
        <v>4512.277899999999</v>
      </c>
      <c r="E21" s="1543">
        <v>4586.1</v>
      </c>
      <c r="F21" s="1543">
        <v>4511.7</v>
      </c>
      <c r="G21" s="1544">
        <f>F21/E21%</f>
        <v>98.37770654804734</v>
      </c>
      <c r="H21" s="1543">
        <v>4910.3</v>
      </c>
      <c r="I21" s="1545" t="s">
        <v>1075</v>
      </c>
      <c r="J21" s="1545"/>
    </row>
    <row r="22" spans="1:10" s="1546" customFormat="1" ht="30" customHeight="1">
      <c r="A22" s="1540"/>
      <c r="B22" s="1541" t="s">
        <v>387</v>
      </c>
      <c r="C22" s="1542" t="s">
        <v>293</v>
      </c>
      <c r="D22" s="1543">
        <v>1485.1495</v>
      </c>
      <c r="E22" s="1543">
        <v>1815.05</v>
      </c>
      <c r="F22" s="1544">
        <v>1825</v>
      </c>
      <c r="G22" s="1544">
        <f>F22/E22%</f>
        <v>100.5481942646208</v>
      </c>
      <c r="H22" s="1544">
        <v>2001</v>
      </c>
      <c r="I22" s="1545"/>
      <c r="J22" s="1545"/>
    </row>
    <row r="23" spans="1:10" s="1546" customFormat="1" ht="16.5">
      <c r="A23" s="1540"/>
      <c r="B23" s="1541" t="s">
        <v>388</v>
      </c>
      <c r="C23" s="1542" t="s">
        <v>293</v>
      </c>
      <c r="D23" s="1544">
        <v>863</v>
      </c>
      <c r="E23" s="1543">
        <v>1106.05</v>
      </c>
      <c r="F23" s="1544">
        <v>1080</v>
      </c>
      <c r="G23" s="1544">
        <f>F23/E23%</f>
        <v>97.64477193616926</v>
      </c>
      <c r="H23" s="1544">
        <v>1295</v>
      </c>
      <c r="I23" s="1545" t="s">
        <v>1075</v>
      </c>
      <c r="J23" s="1545"/>
    </row>
    <row r="24" spans="1:10" s="1546" customFormat="1" ht="16.5">
      <c r="A24" s="1540"/>
      <c r="B24" s="1541" t="s">
        <v>389</v>
      </c>
      <c r="C24" s="1542" t="s">
        <v>293</v>
      </c>
      <c r="D24" s="1543">
        <v>1909.256</v>
      </c>
      <c r="E24" s="1544">
        <v>2170</v>
      </c>
      <c r="F24" s="1544">
        <v>2220</v>
      </c>
      <c r="G24" s="1544">
        <f>F24/E24%</f>
        <v>102.3041474654378</v>
      </c>
      <c r="H24" s="1544">
        <v>2600</v>
      </c>
      <c r="I24" s="1545"/>
      <c r="J24" s="1545"/>
    </row>
    <row r="25" spans="1:10" s="1552" customFormat="1" ht="17.25">
      <c r="A25" s="1547"/>
      <c r="B25" s="1548" t="s">
        <v>1065</v>
      </c>
      <c r="C25" s="1549"/>
      <c r="D25" s="1550"/>
      <c r="E25" s="1550"/>
      <c r="F25" s="1550"/>
      <c r="G25" s="1550"/>
      <c r="H25" s="1550"/>
      <c r="I25" s="1551"/>
      <c r="J25" s="1551"/>
    </row>
    <row r="26" spans="1:10" s="1546" customFormat="1" ht="16.5">
      <c r="A26" s="1540"/>
      <c r="B26" s="1541" t="s">
        <v>386</v>
      </c>
      <c r="C26" s="1542" t="s">
        <v>6</v>
      </c>
      <c r="D26" s="1543">
        <f>D21/D19%</f>
        <v>57.06916126172448</v>
      </c>
      <c r="E26" s="1543">
        <f>E21/E19%</f>
        <v>53.50623895276596</v>
      </c>
      <c r="F26" s="1553">
        <f>F21/F19%</f>
        <v>52.72710273820514</v>
      </c>
      <c r="G26" s="1543"/>
      <c r="H26" s="1553">
        <f>H21/H19%</f>
        <v>51.62596069937864</v>
      </c>
      <c r="I26" s="1545"/>
      <c r="J26" s="1545"/>
    </row>
    <row r="27" spans="1:10" s="1546" customFormat="1" ht="16.5">
      <c r="A27" s="1540"/>
      <c r="B27" s="1541" t="s">
        <v>387</v>
      </c>
      <c r="C27" s="1542" t="s">
        <v>6</v>
      </c>
      <c r="D27" s="1543">
        <f>D22/D19%</f>
        <v>18.783469943921116</v>
      </c>
      <c r="E27" s="1543">
        <f>E22/E19%</f>
        <v>21.176271562159098</v>
      </c>
      <c r="F27" s="1553">
        <f>F22/F19%</f>
        <v>21.32831582268865</v>
      </c>
      <c r="G27" s="1543"/>
      <c r="H27" s="1553">
        <f>H22/H19%</f>
        <v>21.038133588468455</v>
      </c>
      <c r="I27" s="1545"/>
      <c r="J27" s="1545"/>
    </row>
    <row r="28" spans="1:10" s="1546" customFormat="1" ht="16.5">
      <c r="A28" s="1540"/>
      <c r="B28" s="1541" t="s">
        <v>389</v>
      </c>
      <c r="C28" s="1542" t="s">
        <v>6</v>
      </c>
      <c r="D28" s="1543">
        <f>D24/D19%</f>
        <v>24.147368794354414</v>
      </c>
      <c r="E28" s="1543">
        <f>E24/E19%</f>
        <v>25.317489485074926</v>
      </c>
      <c r="F28" s="1553">
        <f>F24/F19%</f>
        <v>25.944581439106194</v>
      </c>
      <c r="G28" s="1543"/>
      <c r="H28" s="1553">
        <f>H24/H19%</f>
        <v>27.33590571215291</v>
      </c>
      <c r="I28" s="1545"/>
      <c r="J28" s="1545"/>
    </row>
    <row r="29" spans="1:10" ht="16.5" hidden="1">
      <c r="A29" s="386">
        <v>3</v>
      </c>
      <c r="B29" s="387" t="s">
        <v>773</v>
      </c>
      <c r="C29" s="1348"/>
      <c r="D29" s="1460"/>
      <c r="E29" s="1460"/>
      <c r="F29" s="1460"/>
      <c r="G29" s="1460"/>
      <c r="H29" s="1460"/>
      <c r="I29" s="1454"/>
      <c r="J29" s="1454"/>
    </row>
    <row r="30" spans="1:10" ht="16.5" hidden="1">
      <c r="A30" s="386"/>
      <c r="B30" s="390" t="s">
        <v>136</v>
      </c>
      <c r="C30" s="1350"/>
      <c r="D30" s="1460"/>
      <c r="E30" s="1460"/>
      <c r="F30" s="1460"/>
      <c r="G30" s="1460"/>
      <c r="H30" s="1460"/>
      <c r="I30" s="1454"/>
      <c r="J30" s="1454"/>
    </row>
    <row r="31" spans="1:10" ht="16.5" hidden="1">
      <c r="A31" s="386"/>
      <c r="B31" s="392" t="s">
        <v>761</v>
      </c>
      <c r="C31" s="1350" t="s">
        <v>213</v>
      </c>
      <c r="D31" s="1460"/>
      <c r="E31" s="1460"/>
      <c r="F31" s="1460"/>
      <c r="G31" s="1460"/>
      <c r="H31" s="1460"/>
      <c r="I31" s="1454"/>
      <c r="J31" s="1454"/>
    </row>
    <row r="32" spans="1:10" ht="16.5" hidden="1">
      <c r="A32" s="386"/>
      <c r="B32" s="392" t="s">
        <v>762</v>
      </c>
      <c r="C32" s="1350" t="s">
        <v>213</v>
      </c>
      <c r="D32" s="1460"/>
      <c r="E32" s="1460"/>
      <c r="F32" s="1460"/>
      <c r="G32" s="1460"/>
      <c r="H32" s="1460"/>
      <c r="I32" s="1454"/>
      <c r="J32" s="1454"/>
    </row>
    <row r="33" spans="1:10" ht="16.5" hidden="1">
      <c r="A33" s="386"/>
      <c r="B33" s="392" t="s">
        <v>763</v>
      </c>
      <c r="C33" s="1350" t="s">
        <v>213</v>
      </c>
      <c r="D33" s="1460"/>
      <c r="E33" s="1460"/>
      <c r="F33" s="1460"/>
      <c r="G33" s="1460"/>
      <c r="H33" s="1460"/>
      <c r="I33" s="1454"/>
      <c r="J33" s="1454"/>
    </row>
    <row r="34" spans="1:10" ht="16.5" hidden="1">
      <c r="A34" s="386">
        <v>4</v>
      </c>
      <c r="B34" s="387" t="s">
        <v>764</v>
      </c>
      <c r="C34" s="1350"/>
      <c r="D34" s="1460"/>
      <c r="E34" s="1460"/>
      <c r="F34" s="1460"/>
      <c r="G34" s="1460"/>
      <c r="H34" s="1460"/>
      <c r="I34" s="1454"/>
      <c r="J34" s="1454"/>
    </row>
    <row r="35" spans="1:10" ht="16.5" hidden="1">
      <c r="A35" s="389"/>
      <c r="B35" s="392" t="s">
        <v>765</v>
      </c>
      <c r="C35" s="1350" t="s">
        <v>766</v>
      </c>
      <c r="D35" s="1460"/>
      <c r="E35" s="1460"/>
      <c r="F35" s="1460"/>
      <c r="G35" s="1460"/>
      <c r="H35" s="1460"/>
      <c r="I35" s="1454"/>
      <c r="J35" s="1454"/>
    </row>
    <row r="36" spans="1:10" ht="16.5" hidden="1">
      <c r="A36" s="389"/>
      <c r="B36" s="392" t="s">
        <v>767</v>
      </c>
      <c r="C36" s="1350" t="s">
        <v>768</v>
      </c>
      <c r="D36" s="1460"/>
      <c r="E36" s="1460"/>
      <c r="F36" s="1460"/>
      <c r="G36" s="1460"/>
      <c r="H36" s="1460"/>
      <c r="I36" s="1454"/>
      <c r="J36" s="1454"/>
    </row>
    <row r="37" spans="1:10" ht="16.5" hidden="1">
      <c r="A37" s="389"/>
      <c r="B37" s="392" t="s">
        <v>769</v>
      </c>
      <c r="C37" s="1350" t="s">
        <v>770</v>
      </c>
      <c r="D37" s="1460"/>
      <c r="E37" s="1460"/>
      <c r="F37" s="1460"/>
      <c r="G37" s="1460"/>
      <c r="H37" s="1460"/>
      <c r="I37" s="1454"/>
      <c r="J37" s="1454"/>
    </row>
    <row r="38" spans="1:10" ht="16.5" hidden="1">
      <c r="A38" s="1452">
        <v>5</v>
      </c>
      <c r="B38" s="387" t="s">
        <v>771</v>
      </c>
      <c r="C38" s="1350" t="s">
        <v>213</v>
      </c>
      <c r="D38" s="1460"/>
      <c r="E38" s="1460"/>
      <c r="F38" s="1460"/>
      <c r="G38" s="1460"/>
      <c r="H38" s="1460"/>
      <c r="I38" s="1454"/>
      <c r="J38" s="1454"/>
    </row>
    <row r="39" spans="1:10" ht="33" hidden="1">
      <c r="A39" s="1452">
        <v>6</v>
      </c>
      <c r="B39" s="387" t="s">
        <v>772</v>
      </c>
      <c r="C39" s="1350" t="s">
        <v>213</v>
      </c>
      <c r="D39" s="1460"/>
      <c r="E39" s="1460"/>
      <c r="F39" s="1460"/>
      <c r="G39" s="1460"/>
      <c r="H39" s="1460"/>
      <c r="I39" s="1454"/>
      <c r="J39" s="1454"/>
    </row>
    <row r="40" spans="1:10" s="1559" customFormat="1" ht="49.5">
      <c r="A40" s="1554">
        <v>2</v>
      </c>
      <c r="B40" s="1555" t="s">
        <v>1066</v>
      </c>
      <c r="C40" s="1556" t="s">
        <v>293</v>
      </c>
      <c r="D40" s="1557">
        <v>1833.756</v>
      </c>
      <c r="E40" s="1557">
        <v>2084.17371936</v>
      </c>
      <c r="F40" s="1557">
        <v>2134.2</v>
      </c>
      <c r="G40" s="1558">
        <f>F40/E40%</f>
        <v>102.40029322773351</v>
      </c>
      <c r="H40" s="1558">
        <v>2400</v>
      </c>
      <c r="I40" s="1545"/>
      <c r="J40" s="1545"/>
    </row>
    <row r="41" spans="1:10" s="397" customFormat="1" ht="16.5">
      <c r="A41" s="1445">
        <v>3</v>
      </c>
      <c r="B41" s="1446" t="s">
        <v>973</v>
      </c>
      <c r="C41" s="1338"/>
      <c r="D41" s="1463"/>
      <c r="E41" s="1463"/>
      <c r="F41" s="1463"/>
      <c r="G41" s="1463"/>
      <c r="H41" s="1463"/>
      <c r="I41" s="1462"/>
      <c r="J41" s="1462"/>
    </row>
    <row r="42" spans="1:10" s="1546" customFormat="1" ht="16.5">
      <c r="A42" s="1540"/>
      <c r="B42" s="1560" t="s">
        <v>974</v>
      </c>
      <c r="C42" s="1542" t="s">
        <v>392</v>
      </c>
      <c r="D42" s="1561">
        <v>62.372</v>
      </c>
      <c r="E42" s="1561">
        <v>63.094</v>
      </c>
      <c r="F42" s="1561">
        <v>63.345</v>
      </c>
      <c r="G42" s="1544">
        <f>F42/E42%</f>
        <v>100.39781912701682</v>
      </c>
      <c r="H42" s="1561">
        <v>62.558</v>
      </c>
      <c r="I42" s="1545"/>
      <c r="J42" s="1545"/>
    </row>
    <row r="43" spans="1:11" s="1546" customFormat="1" ht="30.75" customHeight="1">
      <c r="A43" s="1540"/>
      <c r="B43" s="1560" t="s">
        <v>976</v>
      </c>
      <c r="C43" s="1542" t="s">
        <v>393</v>
      </c>
      <c r="D43" s="1562">
        <v>168.6042125</v>
      </c>
      <c r="E43" s="1562">
        <v>177.792175</v>
      </c>
      <c r="F43" s="1562">
        <v>176.049</v>
      </c>
      <c r="G43" s="1544">
        <f>F43/E43%</f>
        <v>99.01954346415978</v>
      </c>
      <c r="H43" s="1562">
        <v>176.702</v>
      </c>
      <c r="I43" s="1545" t="s">
        <v>1075</v>
      </c>
      <c r="J43" s="1545"/>
      <c r="K43" s="1546" t="s">
        <v>1075</v>
      </c>
    </row>
    <row r="44" spans="1:10" s="397" customFormat="1" ht="16.5">
      <c r="A44" s="389"/>
      <c r="B44" s="1461" t="s">
        <v>977</v>
      </c>
      <c r="C44" s="1456" t="s">
        <v>298</v>
      </c>
      <c r="D44" s="1459">
        <v>75.10770070165184</v>
      </c>
      <c r="E44" s="1457">
        <v>76.5</v>
      </c>
      <c r="F44" s="1457">
        <v>76.5</v>
      </c>
      <c r="G44" s="1458">
        <f>F44/E44%</f>
        <v>100</v>
      </c>
      <c r="H44" s="1457">
        <v>78.5</v>
      </c>
      <c r="I44" s="1489"/>
      <c r="J44" s="1489"/>
    </row>
    <row r="45" spans="1:10" s="397" customFormat="1" ht="16.5" hidden="1">
      <c r="A45" s="389"/>
      <c r="B45" s="1461" t="s">
        <v>978</v>
      </c>
      <c r="C45" s="1456" t="s">
        <v>394</v>
      </c>
      <c r="D45" s="1457">
        <v>1.2</v>
      </c>
      <c r="E45" s="1457">
        <v>1.2</v>
      </c>
      <c r="F45" s="1457">
        <v>1.2</v>
      </c>
      <c r="G45" s="1458">
        <f>F45/E45%</f>
        <v>100</v>
      </c>
      <c r="H45" s="1457"/>
      <c r="I45" s="1488"/>
      <c r="J45" s="1488"/>
    </row>
    <row r="46" spans="1:10" s="397" customFormat="1" ht="16.5">
      <c r="A46" s="389"/>
      <c r="B46" s="1461" t="s">
        <v>983</v>
      </c>
      <c r="C46" s="1456" t="s">
        <v>394</v>
      </c>
      <c r="D46" s="1476">
        <v>1.7</v>
      </c>
      <c r="E46" s="1476">
        <v>1.8</v>
      </c>
      <c r="F46" s="1476">
        <v>1.8</v>
      </c>
      <c r="G46" s="1458">
        <f>F46/E46%</f>
        <v>99.99999999999999</v>
      </c>
      <c r="H46" s="1476">
        <v>1.8</v>
      </c>
      <c r="I46" s="1488"/>
      <c r="J46" s="1488"/>
    </row>
    <row r="47" spans="1:10" s="397" customFormat="1" ht="16.5" hidden="1">
      <c r="A47" s="389"/>
      <c r="B47" s="1461" t="s">
        <v>979</v>
      </c>
      <c r="C47" s="1456" t="s">
        <v>980</v>
      </c>
      <c r="D47" s="1463"/>
      <c r="E47" s="1463"/>
      <c r="F47" s="1463"/>
      <c r="G47" s="1463"/>
      <c r="H47" s="1463">
        <v>1.8</v>
      </c>
      <c r="I47" s="1464"/>
      <c r="J47" s="1464"/>
    </row>
    <row r="48" spans="1:10" s="397" customFormat="1" ht="16.5">
      <c r="A48" s="389"/>
      <c r="B48" s="1461" t="s">
        <v>774</v>
      </c>
      <c r="C48" s="1456" t="s">
        <v>980</v>
      </c>
      <c r="D48" s="1524">
        <v>19.107</v>
      </c>
      <c r="E48" s="1524">
        <v>19.727</v>
      </c>
      <c r="F48" s="1524">
        <v>19.727</v>
      </c>
      <c r="G48" s="1458">
        <f>F48/E48%</f>
        <v>100</v>
      </c>
      <c r="H48" s="1524">
        <v>19.877</v>
      </c>
      <c r="I48" s="1489"/>
      <c r="J48" s="1489"/>
    </row>
    <row r="49" spans="1:10" s="1451" customFormat="1" ht="16.5">
      <c r="A49" s="389"/>
      <c r="B49" s="1461" t="s">
        <v>981</v>
      </c>
      <c r="C49" s="1456" t="s">
        <v>6</v>
      </c>
      <c r="D49" s="1466">
        <v>64</v>
      </c>
      <c r="E49" s="1466">
        <v>67</v>
      </c>
      <c r="F49" s="1476">
        <v>66.70160608622146</v>
      </c>
      <c r="G49" s="1458">
        <f>F49/E49%</f>
        <v>99.55463594958427</v>
      </c>
      <c r="H49" s="1466">
        <v>68</v>
      </c>
      <c r="I49" s="1489"/>
      <c r="J49" s="1489"/>
    </row>
    <row r="50" spans="1:11" s="1451" customFormat="1" ht="16.5">
      <c r="A50" s="386">
        <v>4</v>
      </c>
      <c r="B50" s="1448" t="s">
        <v>959</v>
      </c>
      <c r="C50" s="1449" t="s">
        <v>298</v>
      </c>
      <c r="D50" s="1525">
        <v>43.25</v>
      </c>
      <c r="E50" s="1528">
        <v>46.9</v>
      </c>
      <c r="F50" s="1525">
        <v>46.21</v>
      </c>
      <c r="G50" s="1472">
        <f>F50/E50%</f>
        <v>98.52878464818764</v>
      </c>
      <c r="H50" s="1529">
        <v>50</v>
      </c>
      <c r="I50" s="1489" t="s">
        <v>1075</v>
      </c>
      <c r="J50" s="1489"/>
      <c r="K50" s="1451" t="s">
        <v>1075</v>
      </c>
    </row>
    <row r="51" spans="1:10" s="1559" customFormat="1" ht="16.5">
      <c r="A51" s="1554">
        <v>5</v>
      </c>
      <c r="B51" s="1577" t="s">
        <v>672</v>
      </c>
      <c r="C51" s="1556" t="s">
        <v>293</v>
      </c>
      <c r="D51" s="1578">
        <v>132.354</v>
      </c>
      <c r="E51" s="1578">
        <v>95.24</v>
      </c>
      <c r="F51" s="1578">
        <v>117.233</v>
      </c>
      <c r="G51" s="1579">
        <f>F51/E51%</f>
        <v>123.09218815623689</v>
      </c>
      <c r="H51" s="1580">
        <v>107.4</v>
      </c>
      <c r="I51" s="1545"/>
      <c r="J51" s="1545"/>
    </row>
    <row r="52" spans="1:10" s="1559" customFormat="1" ht="16.5">
      <c r="A52" s="1554">
        <v>6</v>
      </c>
      <c r="B52" s="1577" t="s">
        <v>396</v>
      </c>
      <c r="C52" s="1556" t="s">
        <v>293</v>
      </c>
      <c r="D52" s="1581">
        <v>465.4</v>
      </c>
      <c r="E52" s="1581">
        <v>419.854</v>
      </c>
      <c r="F52" s="1582">
        <v>472.715</v>
      </c>
      <c r="G52" s="1579">
        <f>F52/E52%</f>
        <v>112.59032901913523</v>
      </c>
      <c r="H52" s="1581">
        <v>469.775</v>
      </c>
      <c r="I52" s="1545"/>
      <c r="J52" s="1545"/>
    </row>
    <row r="53" spans="1:10" s="565" customFormat="1" ht="16.5" hidden="1">
      <c r="A53" s="1445" t="s">
        <v>397</v>
      </c>
      <c r="B53" s="1446" t="s">
        <v>398</v>
      </c>
      <c r="C53" s="1449" t="s">
        <v>293</v>
      </c>
      <c r="D53" s="1473"/>
      <c r="E53" s="1473"/>
      <c r="F53" s="1473"/>
      <c r="G53" s="1473"/>
      <c r="H53" s="1473"/>
      <c r="I53" s="1488"/>
      <c r="J53" s="1488"/>
    </row>
    <row r="54" spans="1:10" s="1451" customFormat="1" ht="16.5" hidden="1">
      <c r="A54" s="1445" t="s">
        <v>401</v>
      </c>
      <c r="B54" s="1446" t="s">
        <v>402</v>
      </c>
      <c r="C54" s="1449" t="s">
        <v>293</v>
      </c>
      <c r="D54" s="1474"/>
      <c r="E54" s="1474"/>
      <c r="F54" s="1474"/>
      <c r="G54" s="1474"/>
      <c r="H54" s="1474"/>
      <c r="I54" s="1488"/>
      <c r="J54" s="1488"/>
    </row>
    <row r="55" spans="1:10" s="1546" customFormat="1" ht="33">
      <c r="A55" s="1554">
        <v>7</v>
      </c>
      <c r="B55" s="1555" t="s">
        <v>1078</v>
      </c>
      <c r="C55" s="1556" t="s">
        <v>293</v>
      </c>
      <c r="D55" s="1583">
        <f>D56+D57</f>
        <v>150.357</v>
      </c>
      <c r="E55" s="1583">
        <f>E56+E57</f>
        <v>136.118</v>
      </c>
      <c r="F55" s="1583">
        <f>F56+F57</f>
        <v>164.51800000000003</v>
      </c>
      <c r="G55" s="1584">
        <f>F55/E55%</f>
        <v>120.8642501359115</v>
      </c>
      <c r="H55" s="1583">
        <f>H56+H57</f>
        <v>125.75800000000001</v>
      </c>
      <c r="I55" s="1545"/>
      <c r="J55" s="1545"/>
    </row>
    <row r="56" spans="1:11" s="1546" customFormat="1" ht="16.5">
      <c r="A56" s="1540"/>
      <c r="B56" s="1541" t="s">
        <v>404</v>
      </c>
      <c r="C56" s="1542" t="s">
        <v>293</v>
      </c>
      <c r="D56" s="1561">
        <f>36.696+30+11.08</f>
        <v>77.776</v>
      </c>
      <c r="E56" s="1561">
        <f>64.902+10</f>
        <v>74.902</v>
      </c>
      <c r="F56" s="1561">
        <f>37.849+27.289+1.15</f>
        <v>66.28800000000001</v>
      </c>
      <c r="G56" s="1572">
        <f>F56/E56%</f>
        <v>88.49963952898455</v>
      </c>
      <c r="H56" s="1585">
        <v>59.4</v>
      </c>
      <c r="I56" s="1545"/>
      <c r="J56" s="1545"/>
      <c r="K56" s="1546">
        <f>F56*95%</f>
        <v>62.973600000000005</v>
      </c>
    </row>
    <row r="57" spans="1:11" s="1559" customFormat="1" ht="16.5">
      <c r="A57" s="1540"/>
      <c r="B57" s="1541" t="s">
        <v>405</v>
      </c>
      <c r="C57" s="1542" t="s">
        <v>293</v>
      </c>
      <c r="D57" s="1561">
        <f>72.581</f>
        <v>72.581</v>
      </c>
      <c r="E57" s="1561">
        <f>61.216</f>
        <v>61.216</v>
      </c>
      <c r="F57" s="1561">
        <f>98.23</f>
        <v>98.23</v>
      </c>
      <c r="G57" s="1572">
        <f>F57/E57%</f>
        <v>160.46458442237324</v>
      </c>
      <c r="H57" s="1561">
        <v>66.358</v>
      </c>
      <c r="I57" s="1545"/>
      <c r="J57" s="1545"/>
      <c r="K57" s="1586">
        <f>F57*85%</f>
        <v>83.4955</v>
      </c>
    </row>
    <row r="58" spans="1:11" s="397" customFormat="1" ht="16.5" hidden="1">
      <c r="A58" s="389"/>
      <c r="B58" s="1455" t="s">
        <v>1067</v>
      </c>
      <c r="C58" s="1456" t="s">
        <v>293</v>
      </c>
      <c r="D58" s="1466"/>
      <c r="E58" s="1466"/>
      <c r="F58" s="1466"/>
      <c r="G58" s="1466"/>
      <c r="H58" s="1466"/>
      <c r="I58" s="1476"/>
      <c r="J58" s="1476"/>
      <c r="K58" s="1536">
        <f>K57+K56</f>
        <v>146.46910000000003</v>
      </c>
    </row>
    <row r="59" spans="1:11" s="397" customFormat="1" ht="16.5">
      <c r="A59" s="1445">
        <v>8</v>
      </c>
      <c r="B59" s="1446" t="s">
        <v>406</v>
      </c>
      <c r="C59" s="1338"/>
      <c r="D59" s="1476"/>
      <c r="E59" s="1476"/>
      <c r="F59" s="1476"/>
      <c r="G59" s="1476"/>
      <c r="H59" s="1476"/>
      <c r="I59" s="1466"/>
      <c r="J59" s="1466"/>
      <c r="K59" s="397">
        <f>K58/F55%</f>
        <v>89.02922476567913</v>
      </c>
    </row>
    <row r="60" spans="1:11" s="1134" customFormat="1" ht="16.5">
      <c r="A60" s="1503"/>
      <c r="B60" s="1509" t="s">
        <v>407</v>
      </c>
      <c r="C60" s="1505" t="s">
        <v>408</v>
      </c>
      <c r="D60" s="1499">
        <v>12</v>
      </c>
      <c r="E60" s="1499">
        <v>15</v>
      </c>
      <c r="F60" s="1499">
        <v>30</v>
      </c>
      <c r="G60" s="1499">
        <f>F60/E60%</f>
        <v>200</v>
      </c>
      <c r="H60" s="1499">
        <v>15</v>
      </c>
      <c r="I60" s="1506"/>
      <c r="J60" s="1506"/>
      <c r="K60" s="1134" t="s">
        <v>1075</v>
      </c>
    </row>
    <row r="61" spans="1:10" s="1134" customFormat="1" ht="16.5">
      <c r="A61" s="1503"/>
      <c r="B61" s="1509" t="s">
        <v>409</v>
      </c>
      <c r="C61" s="1505" t="s">
        <v>408</v>
      </c>
      <c r="D61" s="1499">
        <v>5</v>
      </c>
      <c r="E61" s="1499">
        <v>6</v>
      </c>
      <c r="F61" s="1499">
        <v>6</v>
      </c>
      <c r="G61" s="1499">
        <f>F61/E61%</f>
        <v>100</v>
      </c>
      <c r="H61" s="1499">
        <v>11</v>
      </c>
      <c r="I61" s="1506"/>
      <c r="J61" s="1506"/>
    </row>
    <row r="62" spans="1:10" s="1511" customFormat="1" ht="30" customHeight="1">
      <c r="A62" s="1512">
        <v>9</v>
      </c>
      <c r="B62" s="1513" t="s">
        <v>412</v>
      </c>
      <c r="C62" s="1514" t="s">
        <v>413</v>
      </c>
      <c r="D62" s="1515">
        <v>500</v>
      </c>
      <c r="E62" s="1515">
        <v>500</v>
      </c>
      <c r="F62" s="1515">
        <v>500</v>
      </c>
      <c r="G62" s="1515">
        <f>F62/E62%</f>
        <v>100</v>
      </c>
      <c r="H62" s="1515">
        <v>300</v>
      </c>
      <c r="I62" s="1506"/>
      <c r="J62" s="1506"/>
    </row>
    <row r="63" spans="1:10" ht="16.5">
      <c r="A63" s="1445" t="s">
        <v>30</v>
      </c>
      <c r="B63" s="1446" t="s">
        <v>414</v>
      </c>
      <c r="C63" s="1338"/>
      <c r="D63" s="1460"/>
      <c r="E63" s="1460"/>
      <c r="F63" s="1460"/>
      <c r="G63" s="1460"/>
      <c r="H63" s="1460"/>
      <c r="I63" s="1469"/>
      <c r="J63" s="1469"/>
    </row>
    <row r="64" spans="1:10" s="1546" customFormat="1" ht="16.5">
      <c r="A64" s="1554">
        <v>10</v>
      </c>
      <c r="B64" s="1577" t="s">
        <v>415</v>
      </c>
      <c r="C64" s="1556" t="s">
        <v>299</v>
      </c>
      <c r="D64" s="1558">
        <v>78346</v>
      </c>
      <c r="E64" s="1558">
        <v>79784</v>
      </c>
      <c r="F64" s="1558">
        <v>79335</v>
      </c>
      <c r="G64" s="1579">
        <f>F64/E64%</f>
        <v>99.4372305224105</v>
      </c>
      <c r="H64" s="1558">
        <v>80555</v>
      </c>
      <c r="I64" s="1545"/>
      <c r="J64" s="1545"/>
    </row>
    <row r="65" spans="1:10" s="1134" customFormat="1" ht="16.5">
      <c r="A65" s="1503"/>
      <c r="B65" s="1504" t="s">
        <v>416</v>
      </c>
      <c r="C65" s="1505" t="s">
        <v>6</v>
      </c>
      <c r="D65" s="1498">
        <v>1.2</v>
      </c>
      <c r="E65" s="1501">
        <v>1.15</v>
      </c>
      <c r="F65" s="1501">
        <v>1.15</v>
      </c>
      <c r="G65" s="1499">
        <f>F65/E65%</f>
        <v>100</v>
      </c>
      <c r="H65" s="1501">
        <v>1.13</v>
      </c>
      <c r="I65" s="1506"/>
      <c r="J65" s="1506"/>
    </row>
    <row r="66" spans="1:10" s="1511" customFormat="1" ht="16.5">
      <c r="A66" s="1503"/>
      <c r="B66" s="1504" t="s">
        <v>417</v>
      </c>
      <c r="C66" s="1505" t="s">
        <v>15</v>
      </c>
      <c r="D66" s="1535">
        <v>0.6</v>
      </c>
      <c r="E66" s="1508">
        <v>0.5</v>
      </c>
      <c r="F66" s="1508">
        <v>0.5</v>
      </c>
      <c r="G66" s="1499">
        <f>F66/E66%</f>
        <v>100</v>
      </c>
      <c r="H66" s="1508">
        <v>0.4</v>
      </c>
      <c r="I66" s="1506"/>
      <c r="J66" s="1506"/>
    </row>
    <row r="67" spans="1:10" s="1134" customFormat="1" ht="16.5">
      <c r="A67" s="1503"/>
      <c r="B67" s="1504" t="s">
        <v>418</v>
      </c>
      <c r="C67" s="1505" t="s">
        <v>25</v>
      </c>
      <c r="D67" s="1499">
        <v>71</v>
      </c>
      <c r="E67" s="1508">
        <v>71.5</v>
      </c>
      <c r="F67" s="1508">
        <v>71.5</v>
      </c>
      <c r="G67" s="1499">
        <f>F67/E67%</f>
        <v>100</v>
      </c>
      <c r="H67" s="1499">
        <v>72</v>
      </c>
      <c r="I67" s="1506"/>
      <c r="J67" s="1506"/>
    </row>
    <row r="68" spans="1:10" s="397" customFormat="1" ht="16.5">
      <c r="A68" s="1445">
        <v>11</v>
      </c>
      <c r="B68" s="1446" t="s">
        <v>419</v>
      </c>
      <c r="C68" s="1338"/>
      <c r="D68" s="1470"/>
      <c r="E68" s="1470"/>
      <c r="F68" s="1470"/>
      <c r="G68" s="1470"/>
      <c r="H68" s="1470"/>
      <c r="I68" s="1464"/>
      <c r="J68" s="1464"/>
    </row>
    <row r="69" spans="1:10" s="397" customFormat="1" ht="16.5" hidden="1">
      <c r="A69" s="1452"/>
      <c r="B69" s="1453" t="s">
        <v>420</v>
      </c>
      <c r="C69" s="1344" t="s">
        <v>6</v>
      </c>
      <c r="D69" s="1466"/>
      <c r="E69" s="1466"/>
      <c r="F69" s="1466"/>
      <c r="G69" s="1466"/>
      <c r="H69" s="1466"/>
      <c r="I69" s="1464"/>
      <c r="J69" s="1464"/>
    </row>
    <row r="70" spans="1:10" s="1599" customFormat="1" ht="16.5">
      <c r="A70" s="1596"/>
      <c r="B70" s="1560" t="s">
        <v>1085</v>
      </c>
      <c r="C70" s="1597" t="s">
        <v>6</v>
      </c>
      <c r="D70" s="1553">
        <v>43.75</v>
      </c>
      <c r="E70" s="1572">
        <v>50</v>
      </c>
      <c r="F70" s="1570">
        <v>52.17</v>
      </c>
      <c r="G70" s="1572">
        <f>F70/E70%</f>
        <v>104.34</v>
      </c>
      <c r="H70" s="1570">
        <f>F70</f>
        <v>52.17</v>
      </c>
      <c r="I70" s="1598"/>
      <c r="J70" s="1598"/>
    </row>
    <row r="71" spans="1:13" s="1131" customFormat="1" ht="16.5" hidden="1">
      <c r="A71" s="1503"/>
      <c r="B71" s="1509" t="s">
        <v>422</v>
      </c>
      <c r="C71" s="1505" t="s">
        <v>421</v>
      </c>
      <c r="D71" s="1330" t="s">
        <v>134</v>
      </c>
      <c r="E71" s="1499" t="s">
        <v>880</v>
      </c>
      <c r="F71" s="1330"/>
      <c r="G71" s="1499" t="e">
        <f aca="true" t="shared" si="0" ref="G71:G77">F71/E71%</f>
        <v>#VALUE!</v>
      </c>
      <c r="H71" s="1499"/>
      <c r="I71" s="1519"/>
      <c r="J71" s="1519"/>
      <c r="M71" s="1131">
        <f>20038.443/90781.22%</f>
        <v>22.073335211842274</v>
      </c>
    </row>
    <row r="72" spans="1:13" s="1134" customFormat="1" ht="16.5">
      <c r="A72" s="1503"/>
      <c r="B72" s="1509" t="s">
        <v>461</v>
      </c>
      <c r="C72" s="1505" t="s">
        <v>6</v>
      </c>
      <c r="D72" s="1499">
        <v>89</v>
      </c>
      <c r="E72" s="1499">
        <v>90</v>
      </c>
      <c r="F72" s="1499">
        <v>90</v>
      </c>
      <c r="G72" s="1499">
        <f t="shared" si="0"/>
        <v>100</v>
      </c>
      <c r="H72" s="1499">
        <v>90</v>
      </c>
      <c r="I72" s="1506"/>
      <c r="J72" s="1506"/>
      <c r="M72" s="1131">
        <f>20038.443/68161.223%</f>
        <v>29.39859661849084</v>
      </c>
    </row>
    <row r="73" spans="1:10" s="1131" customFormat="1" ht="16.5">
      <c r="A73" s="1516"/>
      <c r="B73" s="1517" t="s">
        <v>1019</v>
      </c>
      <c r="C73" s="1518" t="s">
        <v>6</v>
      </c>
      <c r="D73" s="1330">
        <v>100</v>
      </c>
      <c r="E73" s="1499">
        <v>100</v>
      </c>
      <c r="F73" s="1330">
        <v>100</v>
      </c>
      <c r="G73" s="1499">
        <f t="shared" si="0"/>
        <v>100</v>
      </c>
      <c r="H73" s="1499">
        <v>100</v>
      </c>
      <c r="I73" s="1519"/>
      <c r="J73" s="1519"/>
    </row>
    <row r="74" spans="1:13" s="1134" customFormat="1" ht="16.5">
      <c r="A74" s="1503"/>
      <c r="B74" s="1520" t="s">
        <v>1079</v>
      </c>
      <c r="C74" s="1505" t="s">
        <v>6</v>
      </c>
      <c r="D74" s="1499">
        <v>98</v>
      </c>
      <c r="E74" s="1499">
        <v>98</v>
      </c>
      <c r="F74" s="1499">
        <v>98</v>
      </c>
      <c r="G74" s="1499">
        <f t="shared" si="0"/>
        <v>100</v>
      </c>
      <c r="H74" s="1499">
        <v>98</v>
      </c>
      <c r="I74" s="1521"/>
      <c r="J74" s="1521"/>
      <c r="M74" s="1134">
        <f>9468/46605%</f>
        <v>20.31541680077245</v>
      </c>
    </row>
    <row r="75" spans="1:14" s="1131" customFormat="1" ht="16.5" hidden="1">
      <c r="A75" s="1516"/>
      <c r="B75" s="1522" t="s">
        <v>424</v>
      </c>
      <c r="C75" s="1518" t="s">
        <v>425</v>
      </c>
      <c r="D75" s="1330">
        <v>12</v>
      </c>
      <c r="E75" s="1330">
        <v>12</v>
      </c>
      <c r="F75" s="1330"/>
      <c r="G75" s="1499">
        <f t="shared" si="0"/>
        <v>0</v>
      </c>
      <c r="H75" s="1330"/>
      <c r="I75" s="1519"/>
      <c r="J75" s="1519"/>
      <c r="N75" s="1131">
        <f>153.189/1600%</f>
        <v>9.5743125</v>
      </c>
    </row>
    <row r="76" spans="1:10" s="588" customFormat="1" ht="16.5">
      <c r="A76" s="1516"/>
      <c r="B76" s="1517" t="s">
        <v>423</v>
      </c>
      <c r="C76" s="1518" t="s">
        <v>6</v>
      </c>
      <c r="D76" s="1336">
        <v>99.1</v>
      </c>
      <c r="E76" s="1336">
        <v>99.1</v>
      </c>
      <c r="F76" s="1336">
        <v>99.6</v>
      </c>
      <c r="G76" s="1499">
        <f t="shared" si="0"/>
        <v>100.50454086781029</v>
      </c>
      <c r="H76" s="1330">
        <v>99.8</v>
      </c>
      <c r="I76" s="1334"/>
      <c r="J76" s="1334"/>
    </row>
    <row r="77" spans="1:10" s="1131" customFormat="1" ht="16.5">
      <c r="A77" s="1516"/>
      <c r="B77" s="1522" t="s">
        <v>1020</v>
      </c>
      <c r="C77" s="1518" t="s">
        <v>425</v>
      </c>
      <c r="D77" s="1330">
        <v>12</v>
      </c>
      <c r="E77" s="1330">
        <v>12</v>
      </c>
      <c r="F77" s="1330">
        <v>12</v>
      </c>
      <c r="G77" s="1499">
        <f t="shared" si="0"/>
        <v>100</v>
      </c>
      <c r="H77" s="1330">
        <v>100</v>
      </c>
      <c r="I77" s="1330"/>
      <c r="J77" s="1330"/>
    </row>
    <row r="78" spans="1:10" s="397" customFormat="1" ht="16.5">
      <c r="A78" s="1445">
        <v>12</v>
      </c>
      <c r="B78" s="1446" t="s">
        <v>173</v>
      </c>
      <c r="C78" s="1338"/>
      <c r="D78" s="1459"/>
      <c r="E78" s="1459"/>
      <c r="F78" s="1459"/>
      <c r="G78" s="1459"/>
      <c r="H78" s="1459"/>
      <c r="I78" s="1490"/>
      <c r="J78" s="1490"/>
    </row>
    <row r="79" spans="1:10" s="1134" customFormat="1" ht="16.5">
      <c r="A79" s="1503"/>
      <c r="B79" s="1504" t="s">
        <v>426</v>
      </c>
      <c r="C79" s="1505" t="s">
        <v>6</v>
      </c>
      <c r="D79" s="1500">
        <v>100</v>
      </c>
      <c r="E79" s="1500">
        <v>100</v>
      </c>
      <c r="F79" s="1500">
        <v>100</v>
      </c>
      <c r="G79" s="1500">
        <f>F79/E79%</f>
        <v>100</v>
      </c>
      <c r="H79" s="1500">
        <v>100</v>
      </c>
      <c r="I79" s="1506"/>
      <c r="J79" s="1506"/>
    </row>
    <row r="80" spans="1:10" s="1546" customFormat="1" ht="36" customHeight="1">
      <c r="A80" s="1540"/>
      <c r="B80" s="1590" t="s">
        <v>1062</v>
      </c>
      <c r="C80" s="1542" t="s">
        <v>428</v>
      </c>
      <c r="D80" s="1585">
        <v>13.9</v>
      </c>
      <c r="E80" s="1585">
        <v>13.7</v>
      </c>
      <c r="F80" s="1585">
        <v>14.4</v>
      </c>
      <c r="G80" s="1544">
        <f aca="true" t="shared" si="1" ref="G80:G91">F80/E80%</f>
        <v>105.10948905109491</v>
      </c>
      <c r="H80" s="1585">
        <v>14.2</v>
      </c>
      <c r="I80" s="1545"/>
      <c r="J80" s="1545"/>
    </row>
    <row r="81" spans="1:10" s="1134" customFormat="1" ht="16.5">
      <c r="A81" s="1503"/>
      <c r="B81" s="1504" t="s">
        <v>429</v>
      </c>
      <c r="C81" s="1505" t="s">
        <v>430</v>
      </c>
      <c r="D81" s="1508">
        <v>5.7</v>
      </c>
      <c r="E81" s="1508">
        <v>5.8</v>
      </c>
      <c r="F81" s="1508">
        <v>5.8</v>
      </c>
      <c r="G81" s="1500">
        <f t="shared" si="1"/>
        <v>100</v>
      </c>
      <c r="H81" s="1499">
        <v>6</v>
      </c>
      <c r="I81" s="1506"/>
      <c r="J81" s="1506"/>
    </row>
    <row r="82" spans="1:10" s="1134" customFormat="1" ht="16.5">
      <c r="A82" s="1503"/>
      <c r="B82" s="1509" t="s">
        <v>431</v>
      </c>
      <c r="C82" s="1505" t="s">
        <v>6</v>
      </c>
      <c r="D82" s="1510">
        <v>100</v>
      </c>
      <c r="E82" s="1510">
        <v>100</v>
      </c>
      <c r="F82" s="1510">
        <v>100</v>
      </c>
      <c r="G82" s="1500">
        <f t="shared" si="1"/>
        <v>100</v>
      </c>
      <c r="H82" s="1510">
        <v>100</v>
      </c>
      <c r="I82" s="1506"/>
      <c r="J82" s="1506"/>
    </row>
    <row r="83" spans="1:10" s="1134" customFormat="1" ht="16.5">
      <c r="A83" s="1503"/>
      <c r="B83" s="1509" t="s">
        <v>432</v>
      </c>
      <c r="C83" s="1505" t="s">
        <v>6</v>
      </c>
      <c r="D83" s="1510">
        <v>92</v>
      </c>
      <c r="E83" s="1510" t="s">
        <v>1081</v>
      </c>
      <c r="F83" s="1510" t="s">
        <v>1093</v>
      </c>
      <c r="G83" s="1510">
        <v>100</v>
      </c>
      <c r="H83" s="1510" t="s">
        <v>1081</v>
      </c>
      <c r="I83" s="1506"/>
      <c r="J83" s="1506"/>
    </row>
    <row r="84" spans="1:10" s="1134" customFormat="1" ht="16.5">
      <c r="A84" s="1503"/>
      <c r="B84" s="1509" t="s">
        <v>433</v>
      </c>
      <c r="C84" s="1505" t="s">
        <v>6</v>
      </c>
      <c r="D84" s="1500">
        <v>19</v>
      </c>
      <c r="E84" s="1498">
        <v>18.5</v>
      </c>
      <c r="F84" s="1498">
        <v>18.5</v>
      </c>
      <c r="G84" s="1500">
        <f t="shared" si="1"/>
        <v>100</v>
      </c>
      <c r="H84" s="1500">
        <v>18</v>
      </c>
      <c r="I84" s="1506"/>
      <c r="J84" s="1506"/>
    </row>
    <row r="85" spans="1:10" s="1559" customFormat="1" ht="16.5">
      <c r="A85" s="1540"/>
      <c r="B85" s="1560" t="s">
        <v>972</v>
      </c>
      <c r="C85" s="1542" t="s">
        <v>6</v>
      </c>
      <c r="D85" s="1572">
        <v>75</v>
      </c>
      <c r="E85" s="1585">
        <v>83.3</v>
      </c>
      <c r="F85" s="1585">
        <v>91.6</v>
      </c>
      <c r="G85" s="1544">
        <f t="shared" si="1"/>
        <v>109.9639855942377</v>
      </c>
      <c r="H85" s="1572">
        <v>100</v>
      </c>
      <c r="I85" s="1545"/>
      <c r="J85" s="1545"/>
    </row>
    <row r="86" spans="1:10" s="1134" customFormat="1" ht="16.5">
      <c r="A86" s="1503"/>
      <c r="B86" s="1509" t="s">
        <v>434</v>
      </c>
      <c r="C86" s="1505" t="s">
        <v>6</v>
      </c>
      <c r="D86" s="1498">
        <v>88.5</v>
      </c>
      <c r="E86" s="1500">
        <v>89</v>
      </c>
      <c r="F86" s="1500">
        <v>89</v>
      </c>
      <c r="G86" s="1500">
        <f t="shared" si="1"/>
        <v>100</v>
      </c>
      <c r="H86" s="1500">
        <v>90</v>
      </c>
      <c r="I86" s="1506"/>
      <c r="J86" s="1506"/>
    </row>
    <row r="87" spans="1:11" ht="16.5">
      <c r="A87" s="1445">
        <v>13</v>
      </c>
      <c r="B87" s="1446" t="s">
        <v>435</v>
      </c>
      <c r="C87" s="1338"/>
      <c r="D87" s="1478"/>
      <c r="E87" s="1478"/>
      <c r="F87" s="1478"/>
      <c r="G87" s="1478"/>
      <c r="H87" s="1478"/>
      <c r="I87" s="1469"/>
      <c r="J87" s="1469"/>
      <c r="K87" s="565" t="s">
        <v>1075</v>
      </c>
    </row>
    <row r="88" spans="1:10" s="397" customFormat="1" ht="16.5">
      <c r="A88" s="389"/>
      <c r="B88" s="435" t="s">
        <v>1047</v>
      </c>
      <c r="C88" s="1456" t="s">
        <v>1025</v>
      </c>
      <c r="D88" s="1526" t="s">
        <v>1076</v>
      </c>
      <c r="E88" s="1458" t="s">
        <v>1077</v>
      </c>
      <c r="F88" s="1457">
        <v>53.6</v>
      </c>
      <c r="G88" s="1458">
        <f t="shared" si="1"/>
        <v>100.82768999247556</v>
      </c>
      <c r="H88" s="1457">
        <v>54.8</v>
      </c>
      <c r="I88" s="1488"/>
      <c r="J88" s="1488"/>
    </row>
    <row r="89" spans="1:10" s="397" customFormat="1" ht="31.5">
      <c r="A89" s="389"/>
      <c r="B89" s="1530" t="s">
        <v>1092</v>
      </c>
      <c r="C89" s="1481" t="s">
        <v>662</v>
      </c>
      <c r="D89" s="1526">
        <v>0.89</v>
      </c>
      <c r="E89" s="1459">
        <v>0.81</v>
      </c>
      <c r="F89" s="1459">
        <v>0.81</v>
      </c>
      <c r="G89" s="1458">
        <f t="shared" si="1"/>
        <v>99.99999999999999</v>
      </c>
      <c r="H89" s="1459">
        <v>0.71</v>
      </c>
      <c r="I89" s="1488"/>
      <c r="J89" s="1488"/>
    </row>
    <row r="90" spans="1:11" s="397" customFormat="1" ht="16.5">
      <c r="A90" s="389"/>
      <c r="B90" s="1531" t="s">
        <v>655</v>
      </c>
      <c r="C90" s="1532" t="s">
        <v>656</v>
      </c>
      <c r="D90" s="1526">
        <v>554</v>
      </c>
      <c r="E90" s="1458">
        <v>605</v>
      </c>
      <c r="F90" s="1458">
        <v>450</v>
      </c>
      <c r="G90" s="1458">
        <f t="shared" si="1"/>
        <v>74.3801652892562</v>
      </c>
      <c r="H90" s="1458">
        <v>655</v>
      </c>
      <c r="I90" s="1488" t="s">
        <v>1075</v>
      </c>
      <c r="J90" s="1488"/>
      <c r="K90" s="397" t="s">
        <v>1075</v>
      </c>
    </row>
    <row r="91" spans="1:11" s="397" customFormat="1" ht="26.25" customHeight="1">
      <c r="A91" s="389"/>
      <c r="B91" s="1533" t="s">
        <v>1080</v>
      </c>
      <c r="C91" s="1532" t="s">
        <v>654</v>
      </c>
      <c r="D91" s="1458">
        <v>2403</v>
      </c>
      <c r="E91" s="1464">
        <v>2650</v>
      </c>
      <c r="F91" s="1464">
        <v>2560</v>
      </c>
      <c r="G91" s="1458">
        <f t="shared" si="1"/>
        <v>96.60377358490567</v>
      </c>
      <c r="H91" s="1464">
        <v>2888</v>
      </c>
      <c r="I91" s="1488" t="s">
        <v>1075</v>
      </c>
      <c r="J91" s="1488"/>
      <c r="K91" s="397" t="s">
        <v>1075</v>
      </c>
    </row>
    <row r="92" spans="1:10" s="397" customFormat="1" ht="16.5" customHeight="1">
      <c r="A92" s="1445">
        <v>14</v>
      </c>
      <c r="B92" s="1446" t="s">
        <v>436</v>
      </c>
      <c r="C92" s="1338"/>
      <c r="D92" s="1475"/>
      <c r="E92" s="1475"/>
      <c r="F92" s="1475"/>
      <c r="G92" s="1475"/>
      <c r="H92" s="1475"/>
      <c r="I92" s="1464"/>
      <c r="J92" s="1464"/>
    </row>
    <row r="93" spans="1:10" s="397" customFormat="1" ht="16.5">
      <c r="A93" s="389"/>
      <c r="B93" s="1455" t="s">
        <v>437</v>
      </c>
      <c r="C93" s="1456" t="s">
        <v>6</v>
      </c>
      <c r="D93" s="1527">
        <v>100</v>
      </c>
      <c r="E93" s="1534">
        <v>100</v>
      </c>
      <c r="F93" s="1475">
        <v>100</v>
      </c>
      <c r="G93" s="1475">
        <f>F93/E93%</f>
        <v>100</v>
      </c>
      <c r="H93" s="1534">
        <v>100</v>
      </c>
      <c r="I93" s="1489"/>
      <c r="J93" s="1489"/>
    </row>
    <row r="94" spans="1:10" s="1546" customFormat="1" ht="16.5">
      <c r="A94" s="1540"/>
      <c r="B94" s="1541" t="s">
        <v>438</v>
      </c>
      <c r="C94" s="1542" t="s">
        <v>6</v>
      </c>
      <c r="D94" s="1585">
        <v>88.5</v>
      </c>
      <c r="E94" s="1572">
        <v>89</v>
      </c>
      <c r="F94" s="1585">
        <v>90.3</v>
      </c>
      <c r="G94" s="1591">
        <f aca="true" t="shared" si="2" ref="G94:G99">F94/E94%</f>
        <v>101.46067415730337</v>
      </c>
      <c r="H94" s="1572">
        <v>90</v>
      </c>
      <c r="I94" s="1545"/>
      <c r="J94" s="1545"/>
    </row>
    <row r="95" spans="1:10" s="1546" customFormat="1" ht="16.5">
      <c r="A95" s="1540"/>
      <c r="B95" s="1541" t="s">
        <v>1048</v>
      </c>
      <c r="C95" s="1542" t="s">
        <v>6</v>
      </c>
      <c r="D95" s="1572">
        <v>87</v>
      </c>
      <c r="E95" s="1572">
        <v>87</v>
      </c>
      <c r="F95" s="1572">
        <v>93</v>
      </c>
      <c r="G95" s="1591">
        <f t="shared" si="2"/>
        <v>106.89655172413794</v>
      </c>
      <c r="H95" s="1572">
        <v>93</v>
      </c>
      <c r="I95" s="1545"/>
      <c r="J95" s="1545"/>
    </row>
    <row r="96" spans="1:10" s="397" customFormat="1" ht="16.5">
      <c r="A96" s="389"/>
      <c r="B96" s="1455" t="s">
        <v>1049</v>
      </c>
      <c r="C96" s="1456" t="s">
        <v>6</v>
      </c>
      <c r="D96" s="1458">
        <v>50</v>
      </c>
      <c r="E96" s="1458">
        <v>50</v>
      </c>
      <c r="F96" s="1458">
        <v>50</v>
      </c>
      <c r="G96" s="1475">
        <f>F96/E96%</f>
        <v>100</v>
      </c>
      <c r="H96" s="1458">
        <v>50</v>
      </c>
      <c r="I96" s="1489"/>
      <c r="J96" s="1489"/>
    </row>
    <row r="97" spans="1:11" s="1546" customFormat="1" ht="16.5">
      <c r="A97" s="1540"/>
      <c r="B97" s="1541" t="s">
        <v>441</v>
      </c>
      <c r="C97" s="1542" t="s">
        <v>6</v>
      </c>
      <c r="D97" s="1572">
        <v>92</v>
      </c>
      <c r="E97" s="1572">
        <v>95</v>
      </c>
      <c r="F97" s="1572">
        <v>85</v>
      </c>
      <c r="G97" s="1591">
        <f t="shared" si="2"/>
        <v>89.47368421052632</v>
      </c>
      <c r="H97" s="1572">
        <v>90</v>
      </c>
      <c r="I97" s="1545" t="s">
        <v>1075</v>
      </c>
      <c r="J97" s="1545"/>
      <c r="K97" s="1546" t="s">
        <v>1075</v>
      </c>
    </row>
    <row r="98" spans="1:10" s="1546" customFormat="1" ht="16.5">
      <c r="A98" s="1540"/>
      <c r="B98" s="1560" t="s">
        <v>442</v>
      </c>
      <c r="C98" s="1542" t="s">
        <v>6</v>
      </c>
      <c r="D98" s="1572">
        <v>100</v>
      </c>
      <c r="E98" s="1572">
        <v>100</v>
      </c>
      <c r="F98" s="1572">
        <v>100</v>
      </c>
      <c r="G98" s="1591">
        <f t="shared" si="2"/>
        <v>100</v>
      </c>
      <c r="H98" s="1572">
        <v>100</v>
      </c>
      <c r="I98" s="1545"/>
      <c r="J98" s="1545"/>
    </row>
    <row r="99" spans="1:10" s="397" customFormat="1" ht="16.5">
      <c r="A99" s="389"/>
      <c r="B99" s="1455" t="s">
        <v>443</v>
      </c>
      <c r="C99" s="1456" t="s">
        <v>6</v>
      </c>
      <c r="D99" s="1466">
        <v>100</v>
      </c>
      <c r="E99" s="1466">
        <v>100</v>
      </c>
      <c r="F99" s="1466">
        <v>100</v>
      </c>
      <c r="G99" s="1475">
        <f t="shared" si="2"/>
        <v>100</v>
      </c>
      <c r="H99" s="1466">
        <v>100</v>
      </c>
      <c r="I99" s="1489"/>
      <c r="J99" s="1489"/>
    </row>
    <row r="100" spans="1:10" s="565" customFormat="1" ht="16.5" hidden="1">
      <c r="A100" s="1452"/>
      <c r="B100" s="1453" t="s">
        <v>462</v>
      </c>
      <c r="C100" s="1344" t="s">
        <v>463</v>
      </c>
      <c r="D100" s="1352"/>
      <c r="E100" s="1352"/>
      <c r="F100" s="1352"/>
      <c r="G100" s="1352"/>
      <c r="H100" s="1352"/>
      <c r="I100" s="1369"/>
      <c r="J100" s="1369"/>
    </row>
    <row r="101" spans="1:10" s="397" customFormat="1" ht="16.5" hidden="1">
      <c r="A101" s="1452"/>
      <c r="B101" s="1468" t="s">
        <v>464</v>
      </c>
      <c r="C101" s="1344" t="s">
        <v>463</v>
      </c>
      <c r="D101" s="1477"/>
      <c r="E101" s="1477"/>
      <c r="F101" s="1477"/>
      <c r="G101" s="1477"/>
      <c r="H101" s="1477"/>
      <c r="I101" s="1464"/>
      <c r="J101" s="1464"/>
    </row>
    <row r="102" spans="1:10" s="443" customFormat="1" ht="16.5">
      <c r="A102" s="1445">
        <v>15</v>
      </c>
      <c r="B102" s="1446" t="s">
        <v>444</v>
      </c>
      <c r="C102" s="1338"/>
      <c r="D102" s="1491"/>
      <c r="E102" s="1491"/>
      <c r="F102" s="1491"/>
      <c r="G102" s="1491"/>
      <c r="H102" s="1491"/>
      <c r="I102" s="1464"/>
      <c r="J102" s="1464"/>
    </row>
    <row r="103" spans="1:11" s="1595" customFormat="1" ht="16.5">
      <c r="A103" s="1540"/>
      <c r="B103" s="1592" t="s">
        <v>954</v>
      </c>
      <c r="C103" s="1542" t="s">
        <v>6</v>
      </c>
      <c r="D103" s="1593">
        <v>8.69</v>
      </c>
      <c r="E103" s="1593">
        <v>5.89</v>
      </c>
      <c r="F103" s="1593">
        <v>6.35</v>
      </c>
      <c r="G103" s="1591"/>
      <c r="H103" s="1593">
        <v>3.89</v>
      </c>
      <c r="I103" s="1545" t="s">
        <v>1075</v>
      </c>
      <c r="J103" s="1903"/>
      <c r="K103" s="1594">
        <f>D103-F103</f>
        <v>2.34</v>
      </c>
    </row>
    <row r="104" spans="1:11" s="397" customFormat="1" ht="16.5">
      <c r="A104" s="416"/>
      <c r="B104" s="417" t="s">
        <v>1068</v>
      </c>
      <c r="C104" s="1479" t="s">
        <v>6</v>
      </c>
      <c r="D104" s="1459">
        <v>17.02</v>
      </c>
      <c r="E104" s="1459">
        <f>D104-4</f>
        <v>13.02</v>
      </c>
      <c r="F104" s="1553">
        <v>12.47</v>
      </c>
      <c r="G104" s="1475"/>
      <c r="H104" s="1459">
        <v>9.02</v>
      </c>
      <c r="I104" s="1545"/>
      <c r="J104" s="1904"/>
      <c r="K104" s="1537">
        <f>D104-F104</f>
        <v>4.549999999999999</v>
      </c>
    </row>
    <row r="105" spans="1:10" s="397" customFormat="1" ht="16.5" customHeight="1" hidden="1">
      <c r="A105" s="416"/>
      <c r="B105" s="417" t="s">
        <v>1069</v>
      </c>
      <c r="C105" s="1479" t="s">
        <v>6</v>
      </c>
      <c r="D105" s="1470">
        <v>29.23</v>
      </c>
      <c r="E105" s="1470">
        <f>D105-5</f>
        <v>24.23</v>
      </c>
      <c r="F105" s="1470"/>
      <c r="G105" s="1470"/>
      <c r="H105" s="1470"/>
      <c r="I105" s="1369"/>
      <c r="J105" s="1905"/>
    </row>
    <row r="106" spans="1:10" s="565" customFormat="1" ht="16.5">
      <c r="A106" s="1445">
        <v>16</v>
      </c>
      <c r="B106" s="1446" t="s">
        <v>445</v>
      </c>
      <c r="C106" s="1338"/>
      <c r="D106" s="1352"/>
      <c r="E106" s="1352"/>
      <c r="F106" s="1352"/>
      <c r="G106" s="1352"/>
      <c r="H106" s="1352"/>
      <c r="I106" s="1369"/>
      <c r="J106" s="1369"/>
    </row>
    <row r="107" spans="1:10" s="397" customFormat="1" ht="16.5">
      <c r="A107" s="389"/>
      <c r="B107" s="1455" t="s">
        <v>446</v>
      </c>
      <c r="C107" s="1456" t="s">
        <v>6</v>
      </c>
      <c r="D107" s="1458">
        <v>99</v>
      </c>
      <c r="E107" s="1458">
        <v>99</v>
      </c>
      <c r="F107" s="1458">
        <v>99</v>
      </c>
      <c r="G107" s="1475">
        <f>F107/E107%</f>
        <v>100</v>
      </c>
      <c r="H107" s="1458">
        <v>99</v>
      </c>
      <c r="I107" s="1502"/>
      <c r="J107" s="1903"/>
    </row>
    <row r="108" spans="1:10" s="397" customFormat="1" ht="16.5">
      <c r="A108" s="389"/>
      <c r="B108" s="1461" t="s">
        <v>447</v>
      </c>
      <c r="C108" s="1456" t="s">
        <v>6</v>
      </c>
      <c r="D108" s="1466">
        <v>100</v>
      </c>
      <c r="E108" s="1466">
        <v>100</v>
      </c>
      <c r="F108" s="1466">
        <v>100</v>
      </c>
      <c r="G108" s="1475">
        <f>F108/E108%</f>
        <v>100</v>
      </c>
      <c r="H108" s="1466">
        <v>100</v>
      </c>
      <c r="I108" s="1502"/>
      <c r="J108" s="1905"/>
    </row>
    <row r="109" spans="1:10" s="565" customFormat="1" ht="16.5">
      <c r="A109" s="1445">
        <v>17</v>
      </c>
      <c r="B109" s="1446" t="s">
        <v>448</v>
      </c>
      <c r="C109" s="1338"/>
      <c r="D109" s="1352"/>
      <c r="E109" s="1352"/>
      <c r="F109" s="1352"/>
      <c r="G109" s="1352"/>
      <c r="H109" s="1352"/>
      <c r="I109" s="1352"/>
      <c r="J109" s="1352"/>
    </row>
    <row r="110" spans="1:10" s="1134" customFormat="1" ht="16.5">
      <c r="A110" s="1503"/>
      <c r="B110" s="1504" t="s">
        <v>957</v>
      </c>
      <c r="C110" s="1505" t="s">
        <v>6</v>
      </c>
      <c r="D110" s="1499">
        <v>93</v>
      </c>
      <c r="E110" s="1508">
        <v>93.4</v>
      </c>
      <c r="F110" s="1508">
        <v>93.4</v>
      </c>
      <c r="G110" s="1500">
        <f>F110/E110%</f>
        <v>100</v>
      </c>
      <c r="H110" s="1499">
        <v>94</v>
      </c>
      <c r="I110" s="1506"/>
      <c r="J110" s="1506"/>
    </row>
    <row r="111" spans="1:10" s="397" customFormat="1" ht="16.5" hidden="1">
      <c r="A111" s="1452"/>
      <c r="B111" s="1453" t="s">
        <v>473</v>
      </c>
      <c r="C111" s="1344" t="s">
        <v>6</v>
      </c>
      <c r="D111" s="1466"/>
      <c r="E111" s="1466"/>
      <c r="F111" s="1466"/>
      <c r="G111" s="1466"/>
      <c r="H111" s="1466"/>
      <c r="I111" s="1465"/>
      <c r="J111" s="1465"/>
    </row>
    <row r="112" spans="1:10" ht="16.5">
      <c r="A112" s="1445">
        <v>18</v>
      </c>
      <c r="B112" s="1446" t="s">
        <v>449</v>
      </c>
      <c r="C112" s="1338"/>
      <c r="D112" s="1352"/>
      <c r="E112" s="1352"/>
      <c r="F112" s="1352"/>
      <c r="G112" s="1352"/>
      <c r="H112" s="1352"/>
      <c r="I112" s="1369"/>
      <c r="J112" s="1369"/>
    </row>
    <row r="113" spans="1:10" s="1511" customFormat="1" ht="16.5">
      <c r="A113" s="1503"/>
      <c r="B113" s="1504" t="s">
        <v>1050</v>
      </c>
      <c r="C113" s="1505" t="s">
        <v>6</v>
      </c>
      <c r="D113" s="1499">
        <v>97</v>
      </c>
      <c r="E113" s="1499">
        <v>97</v>
      </c>
      <c r="F113" s="1499">
        <v>97</v>
      </c>
      <c r="G113" s="1500">
        <f>F113/E113%</f>
        <v>100</v>
      </c>
      <c r="H113" s="1499">
        <v>97</v>
      </c>
      <c r="I113" s="1506"/>
      <c r="J113" s="1506"/>
    </row>
    <row r="114" spans="1:10" s="1134" customFormat="1" ht="66">
      <c r="A114" s="1503"/>
      <c r="B114" s="1507" t="s">
        <v>1051</v>
      </c>
      <c r="C114" s="1505" t="s">
        <v>6</v>
      </c>
      <c r="D114" s="1500">
        <v>55</v>
      </c>
      <c r="E114" s="1500">
        <v>55</v>
      </c>
      <c r="F114" s="1500">
        <v>55</v>
      </c>
      <c r="G114" s="1500">
        <f>F114/E114%</f>
        <v>99.99999999999999</v>
      </c>
      <c r="H114" s="1500">
        <v>60</v>
      </c>
      <c r="I114" s="1500"/>
      <c r="J114" s="1500"/>
    </row>
    <row r="115" spans="1:10" ht="16.5" hidden="1">
      <c r="A115" s="1452"/>
      <c r="B115" s="1468" t="s">
        <v>475</v>
      </c>
      <c r="C115" s="1344" t="s">
        <v>6</v>
      </c>
      <c r="D115" s="1352"/>
      <c r="E115" s="1352"/>
      <c r="F115" s="1352"/>
      <c r="G115" s="1352"/>
      <c r="H115" s="1352"/>
      <c r="I115" s="1471"/>
      <c r="J115" s="1471"/>
    </row>
    <row r="116" spans="1:10" s="1568" customFormat="1" ht="16.5">
      <c r="A116" s="1563">
        <v>19</v>
      </c>
      <c r="B116" s="1564" t="s">
        <v>470</v>
      </c>
      <c r="C116" s="1565"/>
      <c r="D116" s="1566"/>
      <c r="E116" s="1566"/>
      <c r="F116" s="1566"/>
      <c r="G116" s="1566"/>
      <c r="H116" s="1566"/>
      <c r="I116" s="1567"/>
      <c r="J116" s="1567"/>
    </row>
    <row r="117" spans="1:11" s="1559" customFormat="1" ht="16.5">
      <c r="A117" s="1540"/>
      <c r="B117" s="1569" t="s">
        <v>1052</v>
      </c>
      <c r="C117" s="1542" t="s">
        <v>452</v>
      </c>
      <c r="D117" s="1561">
        <v>80.755</v>
      </c>
      <c r="E117" s="1570">
        <v>82.84</v>
      </c>
      <c r="F117" s="1571">
        <v>74.436</v>
      </c>
      <c r="G117" s="1544">
        <f>F117/E117%</f>
        <v>89.85514244326413</v>
      </c>
      <c r="H117" s="1572">
        <v>88</v>
      </c>
      <c r="I117" s="1545" t="s">
        <v>1075</v>
      </c>
      <c r="J117" s="1545"/>
      <c r="K117" s="1559" t="s">
        <v>1075</v>
      </c>
    </row>
    <row r="118" spans="1:10" s="1546" customFormat="1" ht="16.5" hidden="1">
      <c r="A118" s="1573"/>
      <c r="B118" s="1574" t="s">
        <v>1070</v>
      </c>
      <c r="C118" s="1575" t="s">
        <v>1045</v>
      </c>
      <c r="D118" s="1544">
        <v>9500</v>
      </c>
      <c r="E118" s="1544">
        <v>9280</v>
      </c>
      <c r="F118" s="1543"/>
      <c r="G118" s="1544"/>
      <c r="H118" s="1576">
        <v>500</v>
      </c>
      <c r="I118" s="1544"/>
      <c r="J118" s="1544"/>
    </row>
    <row r="119" spans="1:10" s="1546" customFormat="1" ht="16.5">
      <c r="A119" s="1540"/>
      <c r="B119" s="1569" t="s">
        <v>1053</v>
      </c>
      <c r="C119" s="1542" t="s">
        <v>452</v>
      </c>
      <c r="D119" s="1543">
        <v>455.5</v>
      </c>
      <c r="E119" s="1543">
        <v>458.5</v>
      </c>
      <c r="F119" s="1544">
        <v>465</v>
      </c>
      <c r="G119" s="1544">
        <f>F119/E119%</f>
        <v>101.41766630316249</v>
      </c>
      <c r="H119" s="1544">
        <v>500</v>
      </c>
      <c r="I119" s="1545"/>
      <c r="J119" s="1545"/>
    </row>
    <row r="120" spans="1:10" ht="16.5" customHeight="1" hidden="1">
      <c r="A120" s="1452"/>
      <c r="B120" s="1453" t="s">
        <v>454</v>
      </c>
      <c r="C120" s="1344" t="s">
        <v>455</v>
      </c>
      <c r="D120" s="1352"/>
      <c r="E120" s="1352"/>
      <c r="F120" s="1352"/>
      <c r="G120" s="1352"/>
      <c r="H120" s="1352"/>
      <c r="I120" s="1458"/>
      <c r="J120" s="1458"/>
    </row>
    <row r="121" spans="1:10" ht="16.5">
      <c r="A121" s="1445">
        <v>20</v>
      </c>
      <c r="B121" s="1480" t="s">
        <v>1054</v>
      </c>
      <c r="C121" s="1338"/>
      <c r="D121" s="1352"/>
      <c r="E121" s="1352"/>
      <c r="F121" s="1352"/>
      <c r="G121" s="1352"/>
      <c r="H121" s="1352"/>
      <c r="I121" s="1458"/>
      <c r="J121" s="1458"/>
    </row>
    <row r="122" spans="1:10" s="1511" customFormat="1" ht="16.5">
      <c r="A122" s="1503"/>
      <c r="B122" s="1538" t="s">
        <v>1055</v>
      </c>
      <c r="C122" s="1505" t="s">
        <v>6</v>
      </c>
      <c r="D122" s="1508">
        <v>33.2</v>
      </c>
      <c r="E122" s="1508">
        <v>34.9</v>
      </c>
      <c r="F122" s="1508">
        <v>34.9</v>
      </c>
      <c r="G122" s="1508"/>
      <c r="H122" s="1508">
        <v>35.1</v>
      </c>
      <c r="I122" s="1521"/>
      <c r="J122" s="1521"/>
    </row>
    <row r="123" spans="1:10" s="1546" customFormat="1" ht="16.5">
      <c r="A123" s="1540"/>
      <c r="B123" s="1569" t="s">
        <v>1056</v>
      </c>
      <c r="C123" s="1588" t="s">
        <v>413</v>
      </c>
      <c r="D123" s="1585">
        <v>505.7</v>
      </c>
      <c r="E123" s="1572">
        <v>420</v>
      </c>
      <c r="F123" s="1585">
        <v>466.7</v>
      </c>
      <c r="G123" s="1544">
        <f>F123/E123%</f>
        <v>111.1190476190476</v>
      </c>
      <c r="H123" s="1572">
        <v>320</v>
      </c>
      <c r="I123" s="1589"/>
      <c r="J123" s="1589"/>
    </row>
    <row r="124" spans="1:10" s="1486" customFormat="1" ht="16.5">
      <c r="A124" s="1493">
        <v>21</v>
      </c>
      <c r="B124" s="1494" t="s">
        <v>1073</v>
      </c>
      <c r="C124" s="1495" t="s">
        <v>1074</v>
      </c>
      <c r="D124" s="1496">
        <v>20</v>
      </c>
      <c r="E124" s="1496">
        <v>22</v>
      </c>
      <c r="F124" s="1496">
        <v>22</v>
      </c>
      <c r="G124" s="1497"/>
      <c r="H124" s="1497">
        <v>24</v>
      </c>
      <c r="I124" s="1497"/>
      <c r="J124" s="1497"/>
    </row>
    <row r="125" spans="1:10" s="397" customFormat="1" ht="21.75" customHeight="1">
      <c r="A125" s="1482"/>
      <c r="B125" s="1483" t="s">
        <v>1071</v>
      </c>
      <c r="C125" s="1456" t="s">
        <v>1057</v>
      </c>
      <c r="D125" s="1458" t="s">
        <v>1075</v>
      </c>
      <c r="E125" s="1487" t="s">
        <v>1057</v>
      </c>
      <c r="F125" s="1487" t="s">
        <v>1057</v>
      </c>
      <c r="G125" s="1487"/>
      <c r="H125" s="1487" t="s">
        <v>1057</v>
      </c>
      <c r="I125" s="1458"/>
      <c r="J125" s="1458"/>
    </row>
    <row r="126" spans="1:10" s="397" customFormat="1" ht="35.25" customHeight="1" hidden="1">
      <c r="A126" s="1484"/>
      <c r="B126" s="1485" t="s">
        <v>1061</v>
      </c>
      <c r="C126" s="1479" t="s">
        <v>1057</v>
      </c>
      <c r="D126" s="1458" t="s">
        <v>1075</v>
      </c>
      <c r="E126" s="1411"/>
      <c r="F126" s="1411"/>
      <c r="G126" s="1411"/>
      <c r="H126" s="1411"/>
      <c r="I126" s="1458"/>
      <c r="J126" s="1458"/>
    </row>
    <row r="127" spans="1:11" ht="33">
      <c r="A127" s="1484"/>
      <c r="B127" s="1485" t="s">
        <v>1084</v>
      </c>
      <c r="C127" s="1479"/>
      <c r="D127" s="1466"/>
      <c r="E127" s="1487" t="s">
        <v>1057</v>
      </c>
      <c r="F127" s="1487" t="s">
        <v>1057</v>
      </c>
      <c r="G127" s="1487"/>
      <c r="H127" s="1487" t="s">
        <v>1057</v>
      </c>
      <c r="I127" s="1458"/>
      <c r="J127" s="1458"/>
      <c r="K127" s="397" t="s">
        <v>1096</v>
      </c>
    </row>
    <row r="128" spans="1:10" ht="16.5">
      <c r="A128" s="1445">
        <v>22</v>
      </c>
      <c r="B128" s="1446" t="s">
        <v>1058</v>
      </c>
      <c r="C128" s="1338"/>
      <c r="D128" s="1492"/>
      <c r="E128" s="1492"/>
      <c r="F128" s="1492"/>
      <c r="G128" s="1492"/>
      <c r="H128" s="1492"/>
      <c r="I128" s="1458"/>
      <c r="J128" s="1458"/>
    </row>
    <row r="129" spans="1:10" ht="33">
      <c r="A129" s="389"/>
      <c r="B129" s="435" t="s">
        <v>1059</v>
      </c>
      <c r="C129" s="1456" t="s">
        <v>6</v>
      </c>
      <c r="D129" s="1458">
        <v>70</v>
      </c>
      <c r="E129" s="1458">
        <v>70</v>
      </c>
      <c r="F129" s="1458">
        <v>70</v>
      </c>
      <c r="G129" s="1458"/>
      <c r="H129" s="1458">
        <v>70</v>
      </c>
      <c r="I129" s="1458"/>
      <c r="J129" s="1458"/>
    </row>
    <row r="130" spans="1:10" ht="33">
      <c r="A130" s="389"/>
      <c r="B130" s="435" t="s">
        <v>1087</v>
      </c>
      <c r="C130" s="1456" t="s">
        <v>6</v>
      </c>
      <c r="D130" s="1458">
        <v>97</v>
      </c>
      <c r="E130" s="1458">
        <v>95</v>
      </c>
      <c r="F130" s="1458">
        <v>100</v>
      </c>
      <c r="G130" s="1458"/>
      <c r="H130" s="1458">
        <v>100</v>
      </c>
      <c r="I130" s="1458"/>
      <c r="J130" s="1458"/>
    </row>
    <row r="131" spans="1:10" ht="33">
      <c r="A131" s="389"/>
      <c r="B131" s="435" t="s">
        <v>1082</v>
      </c>
      <c r="C131" s="1456" t="s">
        <v>6</v>
      </c>
      <c r="D131" s="1458">
        <v>100</v>
      </c>
      <c r="E131" s="1458">
        <v>100</v>
      </c>
      <c r="F131" s="1458">
        <v>100</v>
      </c>
      <c r="G131" s="1458"/>
      <c r="H131" s="1458">
        <v>100</v>
      </c>
      <c r="I131" s="1458"/>
      <c r="J131" s="1458"/>
    </row>
    <row r="132" spans="1:10" ht="33">
      <c r="A132" s="389"/>
      <c r="B132" s="435" t="s">
        <v>1072</v>
      </c>
      <c r="C132" s="1456" t="s">
        <v>1057</v>
      </c>
      <c r="D132" s="1467" t="s">
        <v>1083</v>
      </c>
      <c r="E132" s="1467" t="s">
        <v>1083</v>
      </c>
      <c r="F132" s="1467" t="s">
        <v>1083</v>
      </c>
      <c r="G132" s="1467"/>
      <c r="H132" s="1467"/>
      <c r="I132" s="1458"/>
      <c r="J132" s="1458"/>
    </row>
    <row r="133" spans="1:10" ht="49.5">
      <c r="A133" s="389"/>
      <c r="B133" s="435" t="s">
        <v>1060</v>
      </c>
      <c r="C133" s="1456" t="s">
        <v>1057</v>
      </c>
      <c r="D133" s="1467" t="s">
        <v>1057</v>
      </c>
      <c r="E133" s="1467" t="s">
        <v>1057</v>
      </c>
      <c r="F133" s="1467" t="s">
        <v>1057</v>
      </c>
      <c r="G133" s="1467"/>
      <c r="H133" s="1467" t="s">
        <v>1057</v>
      </c>
      <c r="I133" s="1458"/>
      <c r="J133" s="1458"/>
    </row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spans="1:10" ht="21.75" customHeight="1">
      <c r="A142" s="1800" t="s">
        <v>1099</v>
      </c>
      <c r="B142" s="1800"/>
      <c r="C142" s="1800"/>
      <c r="D142" s="1800"/>
      <c r="E142" s="1800"/>
      <c r="F142" s="1800"/>
      <c r="G142" s="1800"/>
      <c r="H142" s="1800"/>
      <c r="I142" s="1800"/>
      <c r="J142" s="1800"/>
    </row>
    <row r="143" spans="1:10" ht="21.75" customHeight="1">
      <c r="A143" s="1800" t="s">
        <v>1098</v>
      </c>
      <c r="B143" s="1800"/>
      <c r="C143" s="1800"/>
      <c r="D143" s="1800"/>
      <c r="E143" s="1800"/>
      <c r="F143" s="1800"/>
      <c r="G143" s="1800"/>
      <c r="H143" s="1800"/>
      <c r="I143" s="1800"/>
      <c r="J143" s="1800"/>
    </row>
    <row r="144" spans="1:10" ht="21.75" customHeight="1">
      <c r="A144" s="1897" t="s">
        <v>1100</v>
      </c>
      <c r="B144" s="1897"/>
      <c r="C144" s="1897"/>
      <c r="D144" s="1897"/>
      <c r="E144" s="1897"/>
      <c r="F144" s="1897"/>
      <c r="G144" s="1897"/>
      <c r="H144" s="1897"/>
      <c r="I144" s="1897"/>
      <c r="J144" s="1897"/>
    </row>
    <row r="145" spans="1:10" ht="21.75" customHeight="1">
      <c r="A145" s="1891" t="s">
        <v>1097</v>
      </c>
      <c r="B145" s="1891"/>
      <c r="C145" s="1891"/>
      <c r="D145" s="1891"/>
      <c r="E145" s="1891"/>
      <c r="F145" s="1891"/>
      <c r="G145" s="1891"/>
      <c r="H145" s="1891"/>
      <c r="I145" s="1891"/>
      <c r="J145" s="1891"/>
    </row>
    <row r="146" spans="1:15" s="1341" customFormat="1" ht="21.75" customHeight="1">
      <c r="A146" s="1891" t="s">
        <v>1088</v>
      </c>
      <c r="B146" s="1891"/>
      <c r="C146" s="1891"/>
      <c r="D146" s="1891"/>
      <c r="E146" s="1891"/>
      <c r="F146" s="1891"/>
      <c r="G146" s="1891"/>
      <c r="H146" s="1891"/>
      <c r="I146" s="1891"/>
      <c r="J146" s="1891"/>
      <c r="K146" s="559"/>
      <c r="L146" s="559"/>
      <c r="M146" s="559"/>
      <c r="N146" s="559"/>
      <c r="O146" s="559"/>
    </row>
    <row r="147" spans="1:15" s="1341" customFormat="1" ht="21.75" customHeight="1">
      <c r="A147" s="1891" t="s">
        <v>1089</v>
      </c>
      <c r="B147" s="1891"/>
      <c r="C147" s="1891"/>
      <c r="D147" s="1891"/>
      <c r="E147" s="1891"/>
      <c r="F147" s="1891"/>
      <c r="G147" s="1891"/>
      <c r="H147" s="1891"/>
      <c r="I147" s="1891"/>
      <c r="J147" s="1891"/>
      <c r="K147" s="559"/>
      <c r="L147" s="559"/>
      <c r="M147" s="559"/>
      <c r="N147" s="559"/>
      <c r="O147" s="559"/>
    </row>
    <row r="148" spans="1:15" s="1341" customFormat="1" ht="21" customHeight="1">
      <c r="A148" s="1891" t="s">
        <v>1090</v>
      </c>
      <c r="B148" s="1891"/>
      <c r="C148" s="1891"/>
      <c r="D148" s="1891"/>
      <c r="E148" s="1891"/>
      <c r="F148" s="1891"/>
      <c r="G148" s="1891"/>
      <c r="H148" s="1891"/>
      <c r="I148" s="1891"/>
      <c r="J148" s="1891"/>
      <c r="K148" s="559"/>
      <c r="L148" s="559"/>
      <c r="M148" s="559"/>
      <c r="N148" s="559"/>
      <c r="O148" s="559"/>
    </row>
    <row r="149" spans="2:15" s="1341" customFormat="1" ht="21" customHeight="1">
      <c r="B149" s="559"/>
      <c r="D149" s="1443"/>
      <c r="E149" s="1443"/>
      <c r="F149" s="1443"/>
      <c r="G149" s="1443"/>
      <c r="H149" s="1443"/>
      <c r="K149" s="559"/>
      <c r="L149" s="559"/>
      <c r="M149" s="559"/>
      <c r="N149" s="559"/>
      <c r="O149" s="559"/>
    </row>
    <row r="150" spans="1:15" s="1341" customFormat="1" ht="21" customHeight="1">
      <c r="A150" s="1867" t="s">
        <v>0</v>
      </c>
      <c r="B150" s="1867" t="s">
        <v>211</v>
      </c>
      <c r="C150" s="1867" t="s">
        <v>104</v>
      </c>
      <c r="D150" s="1865" t="s">
        <v>1091</v>
      </c>
      <c r="E150" s="1900" t="s">
        <v>1063</v>
      </c>
      <c r="F150" s="1901"/>
      <c r="G150" s="1902"/>
      <c r="H150" s="1865" t="s">
        <v>1094</v>
      </c>
      <c r="I150" s="1865" t="s">
        <v>1086</v>
      </c>
      <c r="J150" s="1865" t="s">
        <v>1031</v>
      </c>
      <c r="K150" s="559"/>
      <c r="L150" s="559"/>
      <c r="M150" s="559"/>
      <c r="N150" s="559"/>
      <c r="O150" s="559"/>
    </row>
    <row r="151" spans="1:15" s="1341" customFormat="1" ht="21" customHeight="1">
      <c r="A151" s="1898" t="s">
        <v>0</v>
      </c>
      <c r="B151" s="1898"/>
      <c r="C151" s="1899"/>
      <c r="D151" s="1866"/>
      <c r="E151" s="1281" t="s">
        <v>1005</v>
      </c>
      <c r="F151" s="1281" t="s">
        <v>1035</v>
      </c>
      <c r="G151" s="1281" t="s">
        <v>1095</v>
      </c>
      <c r="H151" s="1866"/>
      <c r="I151" s="1866"/>
      <c r="J151" s="1866"/>
      <c r="K151" s="559"/>
      <c r="L151" s="559"/>
      <c r="M151" s="559"/>
      <c r="N151" s="559"/>
      <c r="O151" s="559"/>
    </row>
    <row r="152" spans="1:15" s="1341" customFormat="1" ht="21" customHeight="1">
      <c r="A152" s="1445" t="s">
        <v>29</v>
      </c>
      <c r="B152" s="1446" t="s">
        <v>384</v>
      </c>
      <c r="C152" s="1338"/>
      <c r="D152" s="1447"/>
      <c r="E152" s="1447"/>
      <c r="F152" s="1447"/>
      <c r="G152" s="1447"/>
      <c r="H152" s="1447"/>
      <c r="I152" s="1338"/>
      <c r="J152" s="1338"/>
      <c r="K152" s="559"/>
      <c r="L152" s="559"/>
      <c r="M152" s="559"/>
      <c r="N152" s="559"/>
      <c r="O152" s="559"/>
    </row>
    <row r="153" spans="1:15" s="1341" customFormat="1" ht="21" customHeight="1">
      <c r="A153" s="386">
        <v>1</v>
      </c>
      <c r="B153" s="1448" t="s">
        <v>385</v>
      </c>
      <c r="C153" s="1449" t="s">
        <v>293</v>
      </c>
      <c r="D153" s="1450">
        <f>D155+D156+D158</f>
        <v>7906.683399999999</v>
      </c>
      <c r="E153" s="1450">
        <f>E155+E156+E158</f>
        <v>8571.150000000001</v>
      </c>
      <c r="F153" s="1450">
        <f>F155+F156+F158</f>
        <v>8556.7</v>
      </c>
      <c r="G153" s="1539">
        <f>F153/E153%</f>
        <v>99.83141118753025</v>
      </c>
      <c r="H153" s="1450">
        <f>H155+H156+H158</f>
        <v>9511.3</v>
      </c>
      <c r="I153" s="1587"/>
      <c r="J153" s="1488"/>
      <c r="K153" s="559"/>
      <c r="L153" s="559"/>
      <c r="M153" s="559"/>
      <c r="N153" s="559"/>
      <c r="O153" s="559"/>
    </row>
    <row r="154" spans="1:15" s="1341" customFormat="1" ht="21" customHeight="1">
      <c r="A154" s="1452"/>
      <c r="B154" s="1453" t="s">
        <v>141</v>
      </c>
      <c r="C154" s="1344"/>
      <c r="D154" s="1523"/>
      <c r="E154" s="1523"/>
      <c r="F154" s="1523"/>
      <c r="G154" s="1523"/>
      <c r="H154" s="1523"/>
      <c r="I154" s="1344"/>
      <c r="J154" s="1344"/>
      <c r="K154" s="559"/>
      <c r="L154" s="559"/>
      <c r="M154" s="559"/>
      <c r="N154" s="559"/>
      <c r="O154" s="559"/>
    </row>
    <row r="155" spans="1:15" s="1341" customFormat="1" ht="21" customHeight="1">
      <c r="A155" s="1540"/>
      <c r="B155" s="1541" t="s">
        <v>386</v>
      </c>
      <c r="C155" s="1542" t="s">
        <v>293</v>
      </c>
      <c r="D155" s="1543">
        <v>4512.277899999999</v>
      </c>
      <c r="E155" s="1543">
        <v>4586.1</v>
      </c>
      <c r="F155" s="1543">
        <v>4511.7</v>
      </c>
      <c r="G155" s="1544">
        <f>F155/E155%</f>
        <v>98.37770654804734</v>
      </c>
      <c r="H155" s="1543">
        <v>4910.3</v>
      </c>
      <c r="I155" s="1545" t="s">
        <v>1075</v>
      </c>
      <c r="J155" s="1545"/>
      <c r="K155" s="559"/>
      <c r="L155" s="559"/>
      <c r="M155" s="559"/>
      <c r="N155" s="559"/>
      <c r="O155" s="559"/>
    </row>
    <row r="156" spans="1:15" s="1341" customFormat="1" ht="21" customHeight="1">
      <c r="A156" s="1540"/>
      <c r="B156" s="1541" t="s">
        <v>387</v>
      </c>
      <c r="C156" s="1542" t="s">
        <v>293</v>
      </c>
      <c r="D156" s="1543">
        <v>1485.1495</v>
      </c>
      <c r="E156" s="1543">
        <v>1815.05</v>
      </c>
      <c r="F156" s="1544">
        <v>1825</v>
      </c>
      <c r="G156" s="1544">
        <f>F156/E156%</f>
        <v>100.5481942646208</v>
      </c>
      <c r="H156" s="1544">
        <v>2001</v>
      </c>
      <c r="I156" s="1545"/>
      <c r="J156" s="1545"/>
      <c r="K156" s="559"/>
      <c r="L156" s="559"/>
      <c r="M156" s="559"/>
      <c r="N156" s="559"/>
      <c r="O156" s="559"/>
    </row>
    <row r="157" spans="1:15" s="1341" customFormat="1" ht="21" customHeight="1">
      <c r="A157" s="1540"/>
      <c r="B157" s="1541" t="s">
        <v>388</v>
      </c>
      <c r="C157" s="1542" t="s">
        <v>293</v>
      </c>
      <c r="D157" s="1544">
        <v>863</v>
      </c>
      <c r="E157" s="1543">
        <v>1106.05</v>
      </c>
      <c r="F157" s="1544">
        <v>1080</v>
      </c>
      <c r="G157" s="1544">
        <f>F157/E157%</f>
        <v>97.64477193616926</v>
      </c>
      <c r="H157" s="1544">
        <v>1295</v>
      </c>
      <c r="I157" s="1545" t="s">
        <v>1075</v>
      </c>
      <c r="J157" s="1545"/>
      <c r="K157" s="559"/>
      <c r="L157" s="559"/>
      <c r="M157" s="559"/>
      <c r="N157" s="559"/>
      <c r="O157" s="559"/>
    </row>
    <row r="158" spans="1:15" s="1341" customFormat="1" ht="21" customHeight="1">
      <c r="A158" s="1540"/>
      <c r="B158" s="1541" t="s">
        <v>389</v>
      </c>
      <c r="C158" s="1542" t="s">
        <v>293</v>
      </c>
      <c r="D158" s="1543">
        <v>1909.256</v>
      </c>
      <c r="E158" s="1544">
        <v>2170</v>
      </c>
      <c r="F158" s="1544">
        <v>2220</v>
      </c>
      <c r="G158" s="1544">
        <f>F158/E158%</f>
        <v>102.3041474654378</v>
      </c>
      <c r="H158" s="1544">
        <v>2600</v>
      </c>
      <c r="I158" s="1545"/>
      <c r="J158" s="1545"/>
      <c r="K158" s="559"/>
      <c r="L158" s="559"/>
      <c r="M158" s="559"/>
      <c r="N158" s="559"/>
      <c r="O158" s="559"/>
    </row>
    <row r="159" spans="1:15" s="1341" customFormat="1" ht="21" customHeight="1">
      <c r="A159" s="1547"/>
      <c r="B159" s="1548" t="s">
        <v>1065</v>
      </c>
      <c r="C159" s="1549"/>
      <c r="D159" s="1550"/>
      <c r="E159" s="1550"/>
      <c r="F159" s="1550"/>
      <c r="G159" s="1550"/>
      <c r="H159" s="1550"/>
      <c r="I159" s="1551"/>
      <c r="J159" s="1551"/>
      <c r="K159" s="559"/>
      <c r="L159" s="559"/>
      <c r="M159" s="559"/>
      <c r="N159" s="559"/>
      <c r="O159" s="559"/>
    </row>
    <row r="160" spans="1:15" s="1341" customFormat="1" ht="21" customHeight="1">
      <c r="A160" s="1540"/>
      <c r="B160" s="1541" t="s">
        <v>386</v>
      </c>
      <c r="C160" s="1542" t="s">
        <v>6</v>
      </c>
      <c r="D160" s="1543">
        <f>D155/D153%</f>
        <v>57.06916126172448</v>
      </c>
      <c r="E160" s="1543">
        <f>E155/E153%</f>
        <v>53.50623895276596</v>
      </c>
      <c r="F160" s="1553">
        <f>F155/F153%</f>
        <v>52.72710273820514</v>
      </c>
      <c r="G160" s="1543"/>
      <c r="H160" s="1553">
        <f>H155/H153%</f>
        <v>51.62596069937864</v>
      </c>
      <c r="I160" s="1545"/>
      <c r="J160" s="1545"/>
      <c r="K160" s="559"/>
      <c r="L160" s="559"/>
      <c r="M160" s="559"/>
      <c r="N160" s="559"/>
      <c r="O160" s="559"/>
    </row>
    <row r="161" spans="1:15" s="1341" customFormat="1" ht="21" customHeight="1">
      <c r="A161" s="1540"/>
      <c r="B161" s="1541" t="s">
        <v>387</v>
      </c>
      <c r="C161" s="1542" t="s">
        <v>6</v>
      </c>
      <c r="D161" s="1543">
        <f>D156/D153%</f>
        <v>18.783469943921116</v>
      </c>
      <c r="E161" s="1543">
        <f>E156/E153%</f>
        <v>21.176271562159098</v>
      </c>
      <c r="F161" s="1553">
        <f>F156/F153%</f>
        <v>21.32831582268865</v>
      </c>
      <c r="G161" s="1543"/>
      <c r="H161" s="1553">
        <f>H156/H153%</f>
        <v>21.038133588468455</v>
      </c>
      <c r="I161" s="1545"/>
      <c r="J161" s="1545"/>
      <c r="K161" s="559"/>
      <c r="L161" s="559"/>
      <c r="M161" s="559"/>
      <c r="N161" s="559"/>
      <c r="O161" s="559"/>
    </row>
    <row r="162" spans="1:15" s="1341" customFormat="1" ht="21" customHeight="1">
      <c r="A162" s="1540"/>
      <c r="B162" s="1541" t="s">
        <v>389</v>
      </c>
      <c r="C162" s="1542" t="s">
        <v>6</v>
      </c>
      <c r="D162" s="1543">
        <f>D158/D153%</f>
        <v>24.147368794354414</v>
      </c>
      <c r="E162" s="1543">
        <f>E158/E153%</f>
        <v>25.317489485074926</v>
      </c>
      <c r="F162" s="1553">
        <f>F158/F153%</f>
        <v>25.944581439106194</v>
      </c>
      <c r="G162" s="1543"/>
      <c r="H162" s="1553">
        <f>H158/H153%</f>
        <v>27.33590571215291</v>
      </c>
      <c r="I162" s="1545"/>
      <c r="J162" s="1545"/>
      <c r="K162" s="559"/>
      <c r="L162" s="559"/>
      <c r="M162" s="559"/>
      <c r="N162" s="559"/>
      <c r="O162" s="559"/>
    </row>
    <row r="163" spans="1:15" s="1341" customFormat="1" ht="21" customHeight="1">
      <c r="A163" s="386">
        <v>3</v>
      </c>
      <c r="B163" s="387" t="s">
        <v>773</v>
      </c>
      <c r="C163" s="1348"/>
      <c r="D163" s="1460"/>
      <c r="E163" s="1460"/>
      <c r="F163" s="1460"/>
      <c r="G163" s="1460"/>
      <c r="H163" s="1460"/>
      <c r="I163" s="1454"/>
      <c r="J163" s="1454"/>
      <c r="K163" s="559"/>
      <c r="L163" s="559"/>
      <c r="M163" s="559"/>
      <c r="N163" s="559"/>
      <c r="O163" s="559"/>
    </row>
    <row r="164" spans="1:15" s="1341" customFormat="1" ht="21" customHeight="1">
      <c r="A164" s="386"/>
      <c r="B164" s="390" t="s">
        <v>136</v>
      </c>
      <c r="C164" s="1350"/>
      <c r="D164" s="1460"/>
      <c r="E164" s="1460"/>
      <c r="F164" s="1460"/>
      <c r="G164" s="1460"/>
      <c r="H164" s="1460"/>
      <c r="I164" s="1454"/>
      <c r="J164" s="1454"/>
      <c r="K164" s="559"/>
      <c r="L164" s="559"/>
      <c r="M164" s="559"/>
      <c r="N164" s="559"/>
      <c r="O164" s="559"/>
    </row>
    <row r="165" spans="1:15" s="1341" customFormat="1" ht="21" customHeight="1">
      <c r="A165" s="386"/>
      <c r="B165" s="392" t="s">
        <v>761</v>
      </c>
      <c r="C165" s="1350" t="s">
        <v>213</v>
      </c>
      <c r="D165" s="1460"/>
      <c r="E165" s="1460"/>
      <c r="F165" s="1460"/>
      <c r="G165" s="1460"/>
      <c r="H165" s="1460"/>
      <c r="I165" s="1454"/>
      <c r="J165" s="1454"/>
      <c r="K165" s="559"/>
      <c r="L165" s="559"/>
      <c r="M165" s="559"/>
      <c r="N165" s="559"/>
      <c r="O165" s="559"/>
    </row>
    <row r="166" spans="1:15" s="1341" customFormat="1" ht="21" customHeight="1">
      <c r="A166" s="386"/>
      <c r="B166" s="392" t="s">
        <v>762</v>
      </c>
      <c r="C166" s="1350" t="s">
        <v>213</v>
      </c>
      <c r="D166" s="1460"/>
      <c r="E166" s="1460"/>
      <c r="F166" s="1460"/>
      <c r="G166" s="1460"/>
      <c r="H166" s="1460"/>
      <c r="I166" s="1454"/>
      <c r="J166" s="1454"/>
      <c r="K166" s="559"/>
      <c r="L166" s="559"/>
      <c r="M166" s="559"/>
      <c r="N166" s="559"/>
      <c r="O166" s="559"/>
    </row>
    <row r="167" spans="1:15" s="1341" customFormat="1" ht="21" customHeight="1">
      <c r="A167" s="386"/>
      <c r="B167" s="392" t="s">
        <v>763</v>
      </c>
      <c r="C167" s="1350" t="s">
        <v>213</v>
      </c>
      <c r="D167" s="1460"/>
      <c r="E167" s="1460"/>
      <c r="F167" s="1460"/>
      <c r="G167" s="1460"/>
      <c r="H167" s="1460"/>
      <c r="I167" s="1454"/>
      <c r="J167" s="1454"/>
      <c r="K167" s="559"/>
      <c r="L167" s="559"/>
      <c r="M167" s="559"/>
      <c r="N167" s="559"/>
      <c r="O167" s="559"/>
    </row>
    <row r="168" spans="1:15" s="1341" customFormat="1" ht="21" customHeight="1">
      <c r="A168" s="386">
        <v>4</v>
      </c>
      <c r="B168" s="387" t="s">
        <v>764</v>
      </c>
      <c r="C168" s="1350"/>
      <c r="D168" s="1460"/>
      <c r="E168" s="1460"/>
      <c r="F168" s="1460"/>
      <c r="G168" s="1460"/>
      <c r="H168" s="1460"/>
      <c r="I168" s="1454"/>
      <c r="J168" s="1454"/>
      <c r="K168" s="559"/>
      <c r="L168" s="559"/>
      <c r="M168" s="559"/>
      <c r="N168" s="559"/>
      <c r="O168" s="559"/>
    </row>
    <row r="169" spans="1:15" s="1341" customFormat="1" ht="21" customHeight="1">
      <c r="A169" s="389"/>
      <c r="B169" s="392" t="s">
        <v>765</v>
      </c>
      <c r="C169" s="1350" t="s">
        <v>766</v>
      </c>
      <c r="D169" s="1460"/>
      <c r="E169" s="1460"/>
      <c r="F169" s="1460"/>
      <c r="G169" s="1460"/>
      <c r="H169" s="1460"/>
      <c r="I169" s="1454"/>
      <c r="J169" s="1454"/>
      <c r="K169" s="559"/>
      <c r="L169" s="559"/>
      <c r="M169" s="559"/>
      <c r="N169" s="559"/>
      <c r="O169" s="559"/>
    </row>
    <row r="170" spans="1:15" s="1341" customFormat="1" ht="21" customHeight="1">
      <c r="A170" s="389"/>
      <c r="B170" s="392" t="s">
        <v>767</v>
      </c>
      <c r="C170" s="1350" t="s">
        <v>768</v>
      </c>
      <c r="D170" s="1460"/>
      <c r="E170" s="1460"/>
      <c r="F170" s="1460"/>
      <c r="G170" s="1460"/>
      <c r="H170" s="1460"/>
      <c r="I170" s="1454"/>
      <c r="J170" s="1454"/>
      <c r="K170" s="559"/>
      <c r="L170" s="559"/>
      <c r="M170" s="559"/>
      <c r="N170" s="559"/>
      <c r="O170" s="559"/>
    </row>
    <row r="171" spans="1:15" s="1341" customFormat="1" ht="21" customHeight="1">
      <c r="A171" s="389"/>
      <c r="B171" s="392" t="s">
        <v>769</v>
      </c>
      <c r="C171" s="1350" t="s">
        <v>770</v>
      </c>
      <c r="D171" s="1460"/>
      <c r="E171" s="1460"/>
      <c r="F171" s="1460"/>
      <c r="G171" s="1460"/>
      <c r="H171" s="1460"/>
      <c r="I171" s="1454"/>
      <c r="J171" s="1454"/>
      <c r="K171" s="559"/>
      <c r="L171" s="559"/>
      <c r="M171" s="559"/>
      <c r="N171" s="559"/>
      <c r="O171" s="559"/>
    </row>
    <row r="172" spans="1:15" s="1341" customFormat="1" ht="21" customHeight="1">
      <c r="A172" s="1452">
        <v>5</v>
      </c>
      <c r="B172" s="387" t="s">
        <v>771</v>
      </c>
      <c r="C172" s="1350" t="s">
        <v>213</v>
      </c>
      <c r="D172" s="1460"/>
      <c r="E172" s="1460"/>
      <c r="F172" s="1460"/>
      <c r="G172" s="1460"/>
      <c r="H172" s="1460"/>
      <c r="I172" s="1454"/>
      <c r="J172" s="1454"/>
      <c r="K172" s="559"/>
      <c r="L172" s="559"/>
      <c r="M172" s="559"/>
      <c r="N172" s="559"/>
      <c r="O172" s="559"/>
    </row>
    <row r="173" spans="1:15" s="1341" customFormat="1" ht="21" customHeight="1">
      <c r="A173" s="1452">
        <v>6</v>
      </c>
      <c r="B173" s="387" t="s">
        <v>772</v>
      </c>
      <c r="C173" s="1350" t="s">
        <v>213</v>
      </c>
      <c r="D173" s="1460"/>
      <c r="E173" s="1460"/>
      <c r="F173" s="1460"/>
      <c r="G173" s="1460"/>
      <c r="H173" s="1460"/>
      <c r="I173" s="1454"/>
      <c r="J173" s="1454"/>
      <c r="K173" s="559"/>
      <c r="L173" s="559"/>
      <c r="M173" s="559"/>
      <c r="N173" s="559"/>
      <c r="O173" s="559"/>
    </row>
    <row r="174" spans="1:15" s="1341" customFormat="1" ht="21" customHeight="1">
      <c r="A174" s="1554">
        <v>2</v>
      </c>
      <c r="B174" s="1555" t="s">
        <v>1066</v>
      </c>
      <c r="C174" s="1556" t="s">
        <v>293</v>
      </c>
      <c r="D174" s="1557">
        <v>1833.756</v>
      </c>
      <c r="E174" s="1557">
        <v>2084.17371936</v>
      </c>
      <c r="F174" s="1557">
        <v>2134.2</v>
      </c>
      <c r="G174" s="1558">
        <f>F174/E174%</f>
        <v>102.40029322773351</v>
      </c>
      <c r="H174" s="1558">
        <v>2400</v>
      </c>
      <c r="I174" s="1545"/>
      <c r="J174" s="1545"/>
      <c r="K174" s="559"/>
      <c r="L174" s="559"/>
      <c r="M174" s="559"/>
      <c r="N174" s="559"/>
      <c r="O174" s="559"/>
    </row>
    <row r="175" spans="1:15" s="1341" customFormat="1" ht="21" customHeight="1">
      <c r="A175" s="1445">
        <v>3</v>
      </c>
      <c r="B175" s="1446" t="s">
        <v>973</v>
      </c>
      <c r="C175" s="1338"/>
      <c r="D175" s="1463"/>
      <c r="E175" s="1463"/>
      <c r="F175" s="1463"/>
      <c r="G175" s="1463"/>
      <c r="H175" s="1463"/>
      <c r="I175" s="1462"/>
      <c r="J175" s="1462"/>
      <c r="K175" s="559"/>
      <c r="L175" s="559"/>
      <c r="M175" s="559"/>
      <c r="N175" s="559"/>
      <c r="O175" s="559"/>
    </row>
    <row r="176" spans="1:15" s="1341" customFormat="1" ht="21" customHeight="1">
      <c r="A176" s="1540"/>
      <c r="B176" s="1560" t="s">
        <v>974</v>
      </c>
      <c r="C176" s="1542" t="s">
        <v>392</v>
      </c>
      <c r="D176" s="1561">
        <v>62.372</v>
      </c>
      <c r="E176" s="1561">
        <v>63.094</v>
      </c>
      <c r="F176" s="1561">
        <v>63.345</v>
      </c>
      <c r="G176" s="1544">
        <f>F176/E176%</f>
        <v>100.39781912701682</v>
      </c>
      <c r="H176" s="1561">
        <v>62.558</v>
      </c>
      <c r="I176" s="1545"/>
      <c r="J176" s="1545"/>
      <c r="K176" s="559"/>
      <c r="L176" s="559"/>
      <c r="M176" s="559"/>
      <c r="N176" s="559"/>
      <c r="O176" s="559"/>
    </row>
    <row r="177" spans="1:15" s="1341" customFormat="1" ht="21" customHeight="1">
      <c r="A177" s="1540"/>
      <c r="B177" s="1560" t="s">
        <v>976</v>
      </c>
      <c r="C177" s="1542" t="s">
        <v>393</v>
      </c>
      <c r="D177" s="1562">
        <v>168.6042125</v>
      </c>
      <c r="E177" s="1562">
        <v>177.792175</v>
      </c>
      <c r="F177" s="1562">
        <v>176.049</v>
      </c>
      <c r="G177" s="1544">
        <f>F177/E177%</f>
        <v>99.01954346415978</v>
      </c>
      <c r="H177" s="1562">
        <v>176.702</v>
      </c>
      <c r="I177" s="1545" t="s">
        <v>1075</v>
      </c>
      <c r="J177" s="1545"/>
      <c r="K177" s="559"/>
      <c r="L177" s="559"/>
      <c r="M177" s="559"/>
      <c r="N177" s="559"/>
      <c r="O177" s="559"/>
    </row>
    <row r="178" spans="1:15" s="1341" customFormat="1" ht="21" customHeight="1">
      <c r="A178" s="389"/>
      <c r="B178" s="1461" t="s">
        <v>977</v>
      </c>
      <c r="C178" s="1456" t="s">
        <v>298</v>
      </c>
      <c r="D178" s="1459">
        <v>75.10770070165184</v>
      </c>
      <c r="E178" s="1457">
        <v>76.5</v>
      </c>
      <c r="F178" s="1457">
        <v>76.5</v>
      </c>
      <c r="G178" s="1458">
        <f>F178/E178%</f>
        <v>100</v>
      </c>
      <c r="H178" s="1457">
        <v>78.5</v>
      </c>
      <c r="I178" s="1489"/>
      <c r="J178" s="1489"/>
      <c r="K178" s="559"/>
      <c r="L178" s="559"/>
      <c r="M178" s="559"/>
      <c r="N178" s="559"/>
      <c r="O178" s="559"/>
    </row>
    <row r="179" spans="1:15" s="1341" customFormat="1" ht="21" customHeight="1">
      <c r="A179" s="389"/>
      <c r="B179" s="1461" t="s">
        <v>978</v>
      </c>
      <c r="C179" s="1456" t="s">
        <v>394</v>
      </c>
      <c r="D179" s="1457">
        <v>1.2</v>
      </c>
      <c r="E179" s="1457">
        <v>1.2</v>
      </c>
      <c r="F179" s="1457">
        <v>1.2</v>
      </c>
      <c r="G179" s="1458">
        <f>F179/E179%</f>
        <v>100</v>
      </c>
      <c r="H179" s="1457"/>
      <c r="I179" s="1488"/>
      <c r="J179" s="1488"/>
      <c r="K179" s="559"/>
      <c r="L179" s="559"/>
      <c r="M179" s="559"/>
      <c r="N179" s="559"/>
      <c r="O179" s="559"/>
    </row>
    <row r="180" spans="1:15" s="1341" customFormat="1" ht="21" customHeight="1">
      <c r="A180" s="389"/>
      <c r="B180" s="1461" t="s">
        <v>983</v>
      </c>
      <c r="C180" s="1456" t="s">
        <v>394</v>
      </c>
      <c r="D180" s="1476">
        <v>1.7</v>
      </c>
      <c r="E180" s="1476">
        <v>1.8</v>
      </c>
      <c r="F180" s="1476">
        <v>1.8</v>
      </c>
      <c r="G180" s="1458">
        <f>F180/E180%</f>
        <v>99.99999999999999</v>
      </c>
      <c r="H180" s="1476">
        <v>1.8</v>
      </c>
      <c r="I180" s="1488"/>
      <c r="J180" s="1488"/>
      <c r="K180" s="559"/>
      <c r="L180" s="559"/>
      <c r="M180" s="559"/>
      <c r="N180" s="559"/>
      <c r="O180" s="559"/>
    </row>
    <row r="181" spans="1:15" s="1341" customFormat="1" ht="21" customHeight="1">
      <c r="A181" s="389"/>
      <c r="B181" s="1461" t="s">
        <v>979</v>
      </c>
      <c r="C181" s="1456" t="s">
        <v>980</v>
      </c>
      <c r="D181" s="1463"/>
      <c r="E181" s="1463"/>
      <c r="F181" s="1463"/>
      <c r="G181" s="1463"/>
      <c r="H181" s="1463">
        <v>1.8</v>
      </c>
      <c r="I181" s="1464"/>
      <c r="J181" s="1464"/>
      <c r="K181" s="559"/>
      <c r="L181" s="559"/>
      <c r="M181" s="559"/>
      <c r="N181" s="559"/>
      <c r="O181" s="559"/>
    </row>
    <row r="182" spans="1:15" s="1341" customFormat="1" ht="21" customHeight="1">
      <c r="A182" s="389"/>
      <c r="B182" s="1461" t="s">
        <v>774</v>
      </c>
      <c r="C182" s="1456" t="s">
        <v>980</v>
      </c>
      <c r="D182" s="1524">
        <v>19.107</v>
      </c>
      <c r="E182" s="1524">
        <v>19.727</v>
      </c>
      <c r="F182" s="1524">
        <v>19.727</v>
      </c>
      <c r="G182" s="1458">
        <f>F182/E182%</f>
        <v>100</v>
      </c>
      <c r="H182" s="1524">
        <v>19.877</v>
      </c>
      <c r="I182" s="1489"/>
      <c r="J182" s="1489"/>
      <c r="K182" s="559"/>
      <c r="L182" s="559"/>
      <c r="M182" s="559"/>
      <c r="N182" s="559"/>
      <c r="O182" s="559"/>
    </row>
    <row r="183" spans="1:15" s="1341" customFormat="1" ht="21" customHeight="1">
      <c r="A183" s="389"/>
      <c r="B183" s="1461" t="s">
        <v>981</v>
      </c>
      <c r="C183" s="1456" t="s">
        <v>6</v>
      </c>
      <c r="D183" s="1466">
        <v>64</v>
      </c>
      <c r="E183" s="1466">
        <v>67</v>
      </c>
      <c r="F183" s="1476">
        <v>66.70160608622146</v>
      </c>
      <c r="G183" s="1458">
        <f>F183/E183%</f>
        <v>99.55463594958427</v>
      </c>
      <c r="H183" s="1466">
        <v>68</v>
      </c>
      <c r="I183" s="1489"/>
      <c r="J183" s="1489"/>
      <c r="K183" s="559"/>
      <c r="L183" s="559"/>
      <c r="M183" s="559"/>
      <c r="N183" s="559"/>
      <c r="O183" s="559"/>
    </row>
    <row r="184" spans="1:15" s="1341" customFormat="1" ht="21" customHeight="1">
      <c r="A184" s="386">
        <v>4</v>
      </c>
      <c r="B184" s="1448" t="s">
        <v>959</v>
      </c>
      <c r="C184" s="1449" t="s">
        <v>298</v>
      </c>
      <c r="D184" s="1525">
        <v>43.25</v>
      </c>
      <c r="E184" s="1528">
        <v>46.9</v>
      </c>
      <c r="F184" s="1525">
        <v>46.21</v>
      </c>
      <c r="G184" s="1472">
        <f>F184/E184%</f>
        <v>98.52878464818764</v>
      </c>
      <c r="H184" s="1529">
        <v>50</v>
      </c>
      <c r="I184" s="1489" t="s">
        <v>1075</v>
      </c>
      <c r="J184" s="1489"/>
      <c r="K184" s="559"/>
      <c r="L184" s="559"/>
      <c r="M184" s="559"/>
      <c r="N184" s="559"/>
      <c r="O184" s="559"/>
    </row>
    <row r="185" spans="1:15" s="1341" customFormat="1" ht="21" customHeight="1">
      <c r="A185" s="1554">
        <v>5</v>
      </c>
      <c r="B185" s="1577" t="s">
        <v>672</v>
      </c>
      <c r="C185" s="1556" t="s">
        <v>293</v>
      </c>
      <c r="D185" s="1578">
        <v>132.354</v>
      </c>
      <c r="E185" s="1578">
        <v>95.24</v>
      </c>
      <c r="F185" s="1578">
        <v>117.233</v>
      </c>
      <c r="G185" s="1579">
        <f>F185/E185%</f>
        <v>123.09218815623689</v>
      </c>
      <c r="H185" s="1580">
        <v>107.4</v>
      </c>
      <c r="I185" s="1545"/>
      <c r="J185" s="1545"/>
      <c r="K185" s="559"/>
      <c r="L185" s="559"/>
      <c r="M185" s="559"/>
      <c r="N185" s="559"/>
      <c r="O185" s="559"/>
    </row>
    <row r="186" spans="1:15" s="1341" customFormat="1" ht="21" customHeight="1">
      <c r="A186" s="1554">
        <v>6</v>
      </c>
      <c r="B186" s="1577" t="s">
        <v>396</v>
      </c>
      <c r="C186" s="1556" t="s">
        <v>293</v>
      </c>
      <c r="D186" s="1581">
        <v>465.4</v>
      </c>
      <c r="E186" s="1581">
        <v>419.854</v>
      </c>
      <c r="F186" s="1582">
        <v>472.715</v>
      </c>
      <c r="G186" s="1579">
        <f>F186/E186%</f>
        <v>112.59032901913523</v>
      </c>
      <c r="H186" s="1581">
        <v>469.775</v>
      </c>
      <c r="I186" s="1545"/>
      <c r="J186" s="1545"/>
      <c r="K186" s="559"/>
      <c r="L186" s="559"/>
      <c r="M186" s="559"/>
      <c r="N186" s="559"/>
      <c r="O186" s="559"/>
    </row>
    <row r="187" spans="1:15" s="1341" customFormat="1" ht="21" customHeight="1">
      <c r="A187" s="1445" t="s">
        <v>397</v>
      </c>
      <c r="B187" s="1446" t="s">
        <v>398</v>
      </c>
      <c r="C187" s="1449" t="s">
        <v>293</v>
      </c>
      <c r="D187" s="1473"/>
      <c r="E187" s="1473"/>
      <c r="F187" s="1473"/>
      <c r="G187" s="1473"/>
      <c r="H187" s="1473"/>
      <c r="I187" s="1488"/>
      <c r="J187" s="1488"/>
      <c r="K187" s="559"/>
      <c r="L187" s="559"/>
      <c r="M187" s="559"/>
      <c r="N187" s="559"/>
      <c r="O187" s="559"/>
    </row>
    <row r="188" spans="1:15" s="1341" customFormat="1" ht="21" customHeight="1">
      <c r="A188" s="1445" t="s">
        <v>401</v>
      </c>
      <c r="B188" s="1446" t="s">
        <v>402</v>
      </c>
      <c r="C188" s="1449" t="s">
        <v>293</v>
      </c>
      <c r="D188" s="1474"/>
      <c r="E188" s="1474"/>
      <c r="F188" s="1474"/>
      <c r="G188" s="1474"/>
      <c r="H188" s="1474"/>
      <c r="I188" s="1488"/>
      <c r="J188" s="1488"/>
      <c r="K188" s="559"/>
      <c r="L188" s="559"/>
      <c r="M188" s="559"/>
      <c r="N188" s="559"/>
      <c r="O188" s="559"/>
    </row>
    <row r="189" spans="1:15" s="1341" customFormat="1" ht="21" customHeight="1">
      <c r="A189" s="1554">
        <v>7</v>
      </c>
      <c r="B189" s="1555" t="s">
        <v>1078</v>
      </c>
      <c r="C189" s="1556" t="s">
        <v>293</v>
      </c>
      <c r="D189" s="1583">
        <f>D190+D191</f>
        <v>150.357</v>
      </c>
      <c r="E189" s="1583">
        <f>E190+E191</f>
        <v>136.118</v>
      </c>
      <c r="F189" s="1583">
        <f>F190+F191</f>
        <v>164.51800000000003</v>
      </c>
      <c r="G189" s="1584">
        <f>F189/E189%</f>
        <v>120.8642501359115</v>
      </c>
      <c r="H189" s="1583">
        <f>H190+H191</f>
        <v>125.75800000000001</v>
      </c>
      <c r="I189" s="1545"/>
      <c r="J189" s="1545"/>
      <c r="K189" s="559"/>
      <c r="L189" s="559"/>
      <c r="M189" s="559"/>
      <c r="N189" s="559"/>
      <c r="O189" s="559"/>
    </row>
    <row r="190" spans="1:15" s="1341" customFormat="1" ht="21" customHeight="1">
      <c r="A190" s="1540"/>
      <c r="B190" s="1541" t="s">
        <v>404</v>
      </c>
      <c r="C190" s="1542" t="s">
        <v>293</v>
      </c>
      <c r="D190" s="1561">
        <f>36.696+30+11.08</f>
        <v>77.776</v>
      </c>
      <c r="E190" s="1561">
        <f>64.902+10</f>
        <v>74.902</v>
      </c>
      <c r="F190" s="1561">
        <f>37.849+27.289+1.15</f>
        <v>66.28800000000001</v>
      </c>
      <c r="G190" s="1572">
        <f>F190/E190%</f>
        <v>88.49963952898455</v>
      </c>
      <c r="H190" s="1585">
        <v>59.4</v>
      </c>
      <c r="I190" s="1545"/>
      <c r="J190" s="1545"/>
      <c r="K190" s="559"/>
      <c r="L190" s="559"/>
      <c r="M190" s="559"/>
      <c r="N190" s="559"/>
      <c r="O190" s="559"/>
    </row>
    <row r="191" spans="1:15" s="1341" customFormat="1" ht="21" customHeight="1">
      <c r="A191" s="1540"/>
      <c r="B191" s="1541" t="s">
        <v>405</v>
      </c>
      <c r="C191" s="1542" t="s">
        <v>293</v>
      </c>
      <c r="D191" s="1561">
        <f>72.581</f>
        <v>72.581</v>
      </c>
      <c r="E191" s="1561">
        <f>61.216</f>
        <v>61.216</v>
      </c>
      <c r="F191" s="1561">
        <f>98.23</f>
        <v>98.23</v>
      </c>
      <c r="G191" s="1572">
        <f>F191/E191%</f>
        <v>160.46458442237324</v>
      </c>
      <c r="H191" s="1561">
        <v>66.358</v>
      </c>
      <c r="I191" s="1545"/>
      <c r="J191" s="1545"/>
      <c r="K191" s="559"/>
      <c r="L191" s="559"/>
      <c r="M191" s="559"/>
      <c r="N191" s="559"/>
      <c r="O191" s="559"/>
    </row>
    <row r="192" spans="1:15" s="1341" customFormat="1" ht="21" customHeight="1">
      <c r="A192" s="389"/>
      <c r="B192" s="1455" t="s">
        <v>1067</v>
      </c>
      <c r="C192" s="1456" t="s">
        <v>293</v>
      </c>
      <c r="D192" s="1466"/>
      <c r="E192" s="1466"/>
      <c r="F192" s="1466"/>
      <c r="G192" s="1466"/>
      <c r="H192" s="1466"/>
      <c r="I192" s="1476"/>
      <c r="J192" s="1476"/>
      <c r="K192" s="559"/>
      <c r="L192" s="559"/>
      <c r="M192" s="559"/>
      <c r="N192" s="559"/>
      <c r="O192" s="559"/>
    </row>
    <row r="193" spans="1:15" s="1341" customFormat="1" ht="21" customHeight="1">
      <c r="A193" s="1445">
        <v>8</v>
      </c>
      <c r="B193" s="1446" t="s">
        <v>406</v>
      </c>
      <c r="C193" s="1338"/>
      <c r="D193" s="1476"/>
      <c r="E193" s="1476"/>
      <c r="F193" s="1476"/>
      <c r="G193" s="1476"/>
      <c r="H193" s="1476"/>
      <c r="I193" s="1466"/>
      <c r="J193" s="1466"/>
      <c r="K193" s="559"/>
      <c r="L193" s="559"/>
      <c r="M193" s="559"/>
      <c r="N193" s="559"/>
      <c r="O193" s="559"/>
    </row>
    <row r="194" spans="1:15" s="1341" customFormat="1" ht="21" customHeight="1">
      <c r="A194" s="1503"/>
      <c r="B194" s="1509" t="s">
        <v>407</v>
      </c>
      <c r="C194" s="1505" t="s">
        <v>408</v>
      </c>
      <c r="D194" s="1499">
        <v>12</v>
      </c>
      <c r="E194" s="1499">
        <v>15</v>
      </c>
      <c r="F194" s="1499">
        <v>30</v>
      </c>
      <c r="G194" s="1499">
        <f>F194/E194%</f>
        <v>200</v>
      </c>
      <c r="H194" s="1499">
        <v>15</v>
      </c>
      <c r="I194" s="1506"/>
      <c r="J194" s="1506"/>
      <c r="K194" s="559"/>
      <c r="L194" s="559"/>
      <c r="M194" s="559"/>
      <c r="N194" s="559"/>
      <c r="O194" s="559"/>
    </row>
    <row r="195" spans="1:15" s="1341" customFormat="1" ht="21" customHeight="1">
      <c r="A195" s="1503"/>
      <c r="B195" s="1509" t="s">
        <v>409</v>
      </c>
      <c r="C195" s="1505" t="s">
        <v>408</v>
      </c>
      <c r="D195" s="1499">
        <v>5</v>
      </c>
      <c r="E195" s="1499">
        <v>6</v>
      </c>
      <c r="F195" s="1499">
        <v>6</v>
      </c>
      <c r="G195" s="1499">
        <f>F195/E195%</f>
        <v>100</v>
      </c>
      <c r="H195" s="1499">
        <v>11</v>
      </c>
      <c r="I195" s="1506"/>
      <c r="J195" s="1506"/>
      <c r="K195" s="559"/>
      <c r="L195" s="559"/>
      <c r="M195" s="559"/>
      <c r="N195" s="559"/>
      <c r="O195" s="559"/>
    </row>
    <row r="196" spans="1:15" s="1341" customFormat="1" ht="21" customHeight="1">
      <c r="A196" s="1512">
        <v>9</v>
      </c>
      <c r="B196" s="1513" t="s">
        <v>412</v>
      </c>
      <c r="C196" s="1514" t="s">
        <v>413</v>
      </c>
      <c r="D196" s="1515">
        <v>500</v>
      </c>
      <c r="E196" s="1515">
        <v>500</v>
      </c>
      <c r="F196" s="1515">
        <v>500</v>
      </c>
      <c r="G196" s="1515">
        <f>F196/E196%</f>
        <v>100</v>
      </c>
      <c r="H196" s="1515">
        <v>300</v>
      </c>
      <c r="I196" s="1506"/>
      <c r="J196" s="1506"/>
      <c r="K196" s="559"/>
      <c r="L196" s="559"/>
      <c r="M196" s="559"/>
      <c r="N196" s="559"/>
      <c r="O196" s="559"/>
    </row>
    <row r="197" spans="1:15" s="1341" customFormat="1" ht="21" customHeight="1">
      <c r="A197" s="1445" t="s">
        <v>30</v>
      </c>
      <c r="B197" s="1446" t="s">
        <v>414</v>
      </c>
      <c r="C197" s="1338"/>
      <c r="D197" s="1460"/>
      <c r="E197" s="1460"/>
      <c r="F197" s="1460"/>
      <c r="G197" s="1460"/>
      <c r="H197" s="1460"/>
      <c r="I197" s="1469"/>
      <c r="J197" s="1469"/>
      <c r="K197" s="559"/>
      <c r="L197" s="559"/>
      <c r="M197" s="559"/>
      <c r="N197" s="559"/>
      <c r="O197" s="559"/>
    </row>
    <row r="198" spans="1:15" s="1341" customFormat="1" ht="21" customHeight="1">
      <c r="A198" s="1554">
        <v>10</v>
      </c>
      <c r="B198" s="1577" t="s">
        <v>415</v>
      </c>
      <c r="C198" s="1556" t="s">
        <v>299</v>
      </c>
      <c r="D198" s="1558">
        <v>78346</v>
      </c>
      <c r="E198" s="1558">
        <v>79784</v>
      </c>
      <c r="F198" s="1558">
        <v>79335</v>
      </c>
      <c r="G198" s="1579">
        <f>F198/E198%</f>
        <v>99.4372305224105</v>
      </c>
      <c r="H198" s="1558">
        <v>80555</v>
      </c>
      <c r="I198" s="1545"/>
      <c r="J198" s="1545"/>
      <c r="K198" s="559"/>
      <c r="L198" s="559"/>
      <c r="M198" s="559"/>
      <c r="N198" s="559"/>
      <c r="O198" s="559"/>
    </row>
    <row r="199" spans="1:15" s="1341" customFormat="1" ht="21" customHeight="1">
      <c r="A199" s="1503"/>
      <c r="B199" s="1504" t="s">
        <v>416</v>
      </c>
      <c r="C199" s="1505" t="s">
        <v>6</v>
      </c>
      <c r="D199" s="1498">
        <v>1.2</v>
      </c>
      <c r="E199" s="1501">
        <v>1.15</v>
      </c>
      <c r="F199" s="1501">
        <v>1.15</v>
      </c>
      <c r="G199" s="1499">
        <f>F199/E199%</f>
        <v>100</v>
      </c>
      <c r="H199" s="1501">
        <v>1.13</v>
      </c>
      <c r="I199" s="1506"/>
      <c r="J199" s="1506"/>
      <c r="K199" s="559"/>
      <c r="L199" s="559"/>
      <c r="M199" s="559"/>
      <c r="N199" s="559"/>
      <c r="O199" s="559"/>
    </row>
    <row r="200" spans="1:15" s="1341" customFormat="1" ht="21" customHeight="1">
      <c r="A200" s="1503"/>
      <c r="B200" s="1504" t="s">
        <v>417</v>
      </c>
      <c r="C200" s="1505" t="s">
        <v>15</v>
      </c>
      <c r="D200" s="1535">
        <v>0.6</v>
      </c>
      <c r="E200" s="1508">
        <v>0.5</v>
      </c>
      <c r="F200" s="1508">
        <v>0.5</v>
      </c>
      <c r="G200" s="1499">
        <f>F200/E200%</f>
        <v>100</v>
      </c>
      <c r="H200" s="1508">
        <v>0.4</v>
      </c>
      <c r="I200" s="1506"/>
      <c r="J200" s="1506"/>
      <c r="K200" s="559"/>
      <c r="L200" s="559"/>
      <c r="M200" s="559"/>
      <c r="N200" s="559"/>
      <c r="O200" s="559"/>
    </row>
    <row r="201" spans="1:15" s="1341" customFormat="1" ht="21" customHeight="1">
      <c r="A201" s="1503"/>
      <c r="B201" s="1504" t="s">
        <v>418</v>
      </c>
      <c r="C201" s="1505" t="s">
        <v>25</v>
      </c>
      <c r="D201" s="1499">
        <v>71</v>
      </c>
      <c r="E201" s="1508">
        <v>71.5</v>
      </c>
      <c r="F201" s="1508">
        <v>71.5</v>
      </c>
      <c r="G201" s="1499">
        <f>F201/E201%</f>
        <v>100</v>
      </c>
      <c r="H201" s="1499">
        <v>72</v>
      </c>
      <c r="I201" s="1506"/>
      <c r="J201" s="1506"/>
      <c r="K201" s="559"/>
      <c r="L201" s="559"/>
      <c r="M201" s="559"/>
      <c r="N201" s="559"/>
      <c r="O201" s="559"/>
    </row>
    <row r="202" spans="1:15" s="1341" customFormat="1" ht="21" customHeight="1">
      <c r="A202" s="1445">
        <v>11</v>
      </c>
      <c r="B202" s="1446" t="s">
        <v>419</v>
      </c>
      <c r="C202" s="1338"/>
      <c r="D202" s="1470"/>
      <c r="E202" s="1470"/>
      <c r="F202" s="1470"/>
      <c r="G202" s="1470"/>
      <c r="H202" s="1470"/>
      <c r="I202" s="1464"/>
      <c r="J202" s="1464"/>
      <c r="K202" s="559"/>
      <c r="L202" s="559"/>
      <c r="M202" s="559"/>
      <c r="N202" s="559"/>
      <c r="O202" s="559"/>
    </row>
    <row r="203" spans="1:15" s="1341" customFormat="1" ht="21" customHeight="1">
      <c r="A203" s="1452"/>
      <c r="B203" s="1453" t="s">
        <v>420</v>
      </c>
      <c r="C203" s="1344" t="s">
        <v>6</v>
      </c>
      <c r="D203" s="1466"/>
      <c r="E203" s="1466"/>
      <c r="F203" s="1466"/>
      <c r="G203" s="1466"/>
      <c r="H203" s="1466"/>
      <c r="I203" s="1464"/>
      <c r="J203" s="1464"/>
      <c r="K203" s="559"/>
      <c r="L203" s="559"/>
      <c r="M203" s="559"/>
      <c r="N203" s="559"/>
      <c r="O203" s="559"/>
    </row>
    <row r="204" spans="1:15" s="1341" customFormat="1" ht="21" customHeight="1">
      <c r="A204" s="1596"/>
      <c r="B204" s="1560" t="s">
        <v>1085</v>
      </c>
      <c r="C204" s="1597" t="s">
        <v>6</v>
      </c>
      <c r="D204" s="1553">
        <v>43.75</v>
      </c>
      <c r="E204" s="1572">
        <v>50</v>
      </c>
      <c r="F204" s="1570">
        <v>52.17</v>
      </c>
      <c r="G204" s="1572">
        <f>F204/E204%</f>
        <v>104.34</v>
      </c>
      <c r="H204" s="1570">
        <f>F204</f>
        <v>52.17</v>
      </c>
      <c r="I204" s="1598"/>
      <c r="J204" s="1598"/>
      <c r="K204" s="559"/>
      <c r="L204" s="559"/>
      <c r="M204" s="559"/>
      <c r="N204" s="559"/>
      <c r="O204" s="559"/>
    </row>
    <row r="205" spans="1:15" s="1341" customFormat="1" ht="21" customHeight="1">
      <c r="A205" s="1503"/>
      <c r="B205" s="1509" t="s">
        <v>422</v>
      </c>
      <c r="C205" s="1505" t="s">
        <v>421</v>
      </c>
      <c r="D205" s="1330" t="s">
        <v>134</v>
      </c>
      <c r="E205" s="1499" t="s">
        <v>880</v>
      </c>
      <c r="F205" s="1330"/>
      <c r="G205" s="1499" t="e">
        <f aca="true" t="shared" si="3" ref="G205:G211">F205/E205%</f>
        <v>#VALUE!</v>
      </c>
      <c r="H205" s="1499"/>
      <c r="I205" s="1519"/>
      <c r="J205" s="1519"/>
      <c r="K205" s="559"/>
      <c r="L205" s="559"/>
      <c r="M205" s="559"/>
      <c r="N205" s="559"/>
      <c r="O205" s="559"/>
    </row>
    <row r="206" spans="1:15" s="1341" customFormat="1" ht="21" customHeight="1">
      <c r="A206" s="1503"/>
      <c r="B206" s="1509" t="s">
        <v>461</v>
      </c>
      <c r="C206" s="1505" t="s">
        <v>6</v>
      </c>
      <c r="D206" s="1499">
        <v>89</v>
      </c>
      <c r="E206" s="1499">
        <v>90</v>
      </c>
      <c r="F206" s="1499">
        <v>90</v>
      </c>
      <c r="G206" s="1499">
        <f t="shared" si="3"/>
        <v>100</v>
      </c>
      <c r="H206" s="1499">
        <v>90</v>
      </c>
      <c r="I206" s="1506"/>
      <c r="J206" s="1506"/>
      <c r="K206" s="559"/>
      <c r="L206" s="559"/>
      <c r="M206" s="559"/>
      <c r="N206" s="559"/>
      <c r="O206" s="559"/>
    </row>
    <row r="207" spans="1:15" s="1341" customFormat="1" ht="21" customHeight="1">
      <c r="A207" s="1516"/>
      <c r="B207" s="1517" t="s">
        <v>1019</v>
      </c>
      <c r="C207" s="1518" t="s">
        <v>6</v>
      </c>
      <c r="D207" s="1330">
        <v>100</v>
      </c>
      <c r="E207" s="1499">
        <v>100</v>
      </c>
      <c r="F207" s="1330">
        <v>100</v>
      </c>
      <c r="G207" s="1499">
        <f t="shared" si="3"/>
        <v>100</v>
      </c>
      <c r="H207" s="1499">
        <v>100</v>
      </c>
      <c r="I207" s="1519"/>
      <c r="J207" s="1519"/>
      <c r="K207" s="559"/>
      <c r="L207" s="559"/>
      <c r="M207" s="559"/>
      <c r="N207" s="559"/>
      <c r="O207" s="559"/>
    </row>
    <row r="208" spans="1:15" s="1341" customFormat="1" ht="21" customHeight="1">
      <c r="A208" s="1503"/>
      <c r="B208" s="1520" t="s">
        <v>1079</v>
      </c>
      <c r="C208" s="1505" t="s">
        <v>6</v>
      </c>
      <c r="D208" s="1499">
        <v>98</v>
      </c>
      <c r="E208" s="1499">
        <v>98</v>
      </c>
      <c r="F208" s="1499">
        <v>98</v>
      </c>
      <c r="G208" s="1499">
        <f t="shared" si="3"/>
        <v>100</v>
      </c>
      <c r="H208" s="1499">
        <v>98</v>
      </c>
      <c r="I208" s="1521"/>
      <c r="J208" s="1521"/>
      <c r="K208" s="559"/>
      <c r="L208" s="559"/>
      <c r="M208" s="559"/>
      <c r="N208" s="559"/>
      <c r="O208" s="559"/>
    </row>
    <row r="209" spans="1:15" s="1341" customFormat="1" ht="21" customHeight="1">
      <c r="A209" s="1516"/>
      <c r="B209" s="1522" t="s">
        <v>424</v>
      </c>
      <c r="C209" s="1518" t="s">
        <v>425</v>
      </c>
      <c r="D209" s="1330">
        <v>12</v>
      </c>
      <c r="E209" s="1330">
        <v>12</v>
      </c>
      <c r="F209" s="1330"/>
      <c r="G209" s="1499">
        <f t="shared" si="3"/>
        <v>0</v>
      </c>
      <c r="H209" s="1330"/>
      <c r="I209" s="1519"/>
      <c r="J209" s="1519"/>
      <c r="K209" s="559"/>
      <c r="L209" s="559"/>
      <c r="M209" s="559"/>
      <c r="N209" s="559"/>
      <c r="O209" s="559"/>
    </row>
    <row r="210" spans="1:15" s="1341" customFormat="1" ht="21" customHeight="1">
      <c r="A210" s="1516"/>
      <c r="B210" s="1517" t="s">
        <v>423</v>
      </c>
      <c r="C210" s="1518" t="s">
        <v>6</v>
      </c>
      <c r="D210" s="1336">
        <v>99.1</v>
      </c>
      <c r="E210" s="1336">
        <v>99.1</v>
      </c>
      <c r="F210" s="1336">
        <v>99.6</v>
      </c>
      <c r="G210" s="1499">
        <f t="shared" si="3"/>
        <v>100.50454086781029</v>
      </c>
      <c r="H210" s="1330">
        <v>99.8</v>
      </c>
      <c r="I210" s="1334"/>
      <c r="J210" s="1334"/>
      <c r="K210" s="559"/>
      <c r="L210" s="559"/>
      <c r="M210" s="559"/>
      <c r="N210" s="559"/>
      <c r="O210" s="559"/>
    </row>
    <row r="211" spans="1:15" s="1341" customFormat="1" ht="21" customHeight="1">
      <c r="A211" s="1516"/>
      <c r="B211" s="1522" t="s">
        <v>1020</v>
      </c>
      <c r="C211" s="1518" t="s">
        <v>425</v>
      </c>
      <c r="D211" s="1330">
        <v>12</v>
      </c>
      <c r="E211" s="1330">
        <v>12</v>
      </c>
      <c r="F211" s="1330">
        <v>12</v>
      </c>
      <c r="G211" s="1499">
        <f t="shared" si="3"/>
        <v>100</v>
      </c>
      <c r="H211" s="1330">
        <v>100</v>
      </c>
      <c r="I211" s="1330"/>
      <c r="J211" s="1330"/>
      <c r="K211" s="559"/>
      <c r="L211" s="559"/>
      <c r="M211" s="559"/>
      <c r="N211" s="559"/>
      <c r="O211" s="559"/>
    </row>
    <row r="212" spans="1:15" s="1341" customFormat="1" ht="21" customHeight="1">
      <c r="A212" s="1445">
        <v>12</v>
      </c>
      <c r="B212" s="1446" t="s">
        <v>173</v>
      </c>
      <c r="C212" s="1338"/>
      <c r="D212" s="1459"/>
      <c r="E212" s="1459"/>
      <c r="F212" s="1459"/>
      <c r="G212" s="1459"/>
      <c r="H212" s="1459"/>
      <c r="I212" s="1490"/>
      <c r="J212" s="1490"/>
      <c r="K212" s="559"/>
      <c r="L212" s="559"/>
      <c r="M212" s="559"/>
      <c r="N212" s="559"/>
      <c r="O212" s="559"/>
    </row>
    <row r="213" spans="1:15" s="1341" customFormat="1" ht="21" customHeight="1">
      <c r="A213" s="1503"/>
      <c r="B213" s="1504" t="s">
        <v>426</v>
      </c>
      <c r="C213" s="1505" t="s">
        <v>6</v>
      </c>
      <c r="D213" s="1500">
        <v>100</v>
      </c>
      <c r="E213" s="1500">
        <v>100</v>
      </c>
      <c r="F213" s="1500">
        <v>100</v>
      </c>
      <c r="G213" s="1500">
        <f>F213/E213%</f>
        <v>100</v>
      </c>
      <c r="H213" s="1500">
        <v>100</v>
      </c>
      <c r="I213" s="1506"/>
      <c r="J213" s="1506"/>
      <c r="K213" s="559"/>
      <c r="L213" s="559"/>
      <c r="M213" s="559"/>
      <c r="N213" s="559"/>
      <c r="O213" s="559"/>
    </row>
    <row r="214" spans="1:15" s="1341" customFormat="1" ht="21" customHeight="1">
      <c r="A214" s="1540"/>
      <c r="B214" s="1590" t="s">
        <v>1062</v>
      </c>
      <c r="C214" s="1542" t="s">
        <v>428</v>
      </c>
      <c r="D214" s="1585">
        <v>13.9</v>
      </c>
      <c r="E214" s="1585">
        <v>13.7</v>
      </c>
      <c r="F214" s="1585">
        <v>14.4</v>
      </c>
      <c r="G214" s="1544">
        <f>F214/E214%</f>
        <v>105.10948905109491</v>
      </c>
      <c r="H214" s="1585">
        <v>14.2</v>
      </c>
      <c r="I214" s="1545"/>
      <c r="J214" s="1545"/>
      <c r="K214" s="559"/>
      <c r="L214" s="559"/>
      <c r="M214" s="559"/>
      <c r="N214" s="559"/>
      <c r="O214" s="559"/>
    </row>
    <row r="215" spans="1:15" s="1341" customFormat="1" ht="21" customHeight="1">
      <c r="A215" s="1503"/>
      <c r="B215" s="1504" t="s">
        <v>429</v>
      </c>
      <c r="C215" s="1505" t="s">
        <v>430</v>
      </c>
      <c r="D215" s="1508">
        <v>5.7</v>
      </c>
      <c r="E215" s="1508">
        <v>5.8</v>
      </c>
      <c r="F215" s="1508">
        <v>5.8</v>
      </c>
      <c r="G215" s="1500">
        <f>F215/E215%</f>
        <v>100</v>
      </c>
      <c r="H215" s="1499">
        <v>6</v>
      </c>
      <c r="I215" s="1506"/>
      <c r="J215" s="1506"/>
      <c r="K215" s="559"/>
      <c r="L215" s="559"/>
      <c r="M215" s="559"/>
      <c r="N215" s="559"/>
      <c r="O215" s="559"/>
    </row>
    <row r="216" spans="1:15" s="1341" customFormat="1" ht="21" customHeight="1">
      <c r="A216" s="1503"/>
      <c r="B216" s="1509" t="s">
        <v>431</v>
      </c>
      <c r="C216" s="1505" t="s">
        <v>6</v>
      </c>
      <c r="D216" s="1510">
        <v>100</v>
      </c>
      <c r="E216" s="1510">
        <v>100</v>
      </c>
      <c r="F216" s="1510">
        <v>100</v>
      </c>
      <c r="G216" s="1500">
        <f>F216/E216%</f>
        <v>100</v>
      </c>
      <c r="H216" s="1510">
        <v>100</v>
      </c>
      <c r="I216" s="1506"/>
      <c r="J216" s="1506"/>
      <c r="K216" s="559"/>
      <c r="L216" s="559"/>
      <c r="M216" s="559"/>
      <c r="N216" s="559"/>
      <c r="O216" s="559"/>
    </row>
    <row r="217" spans="1:15" s="1341" customFormat="1" ht="21" customHeight="1">
      <c r="A217" s="1503"/>
      <c r="B217" s="1509" t="s">
        <v>432</v>
      </c>
      <c r="C217" s="1505" t="s">
        <v>6</v>
      </c>
      <c r="D217" s="1510">
        <v>92</v>
      </c>
      <c r="E217" s="1510" t="s">
        <v>1081</v>
      </c>
      <c r="F217" s="1510" t="s">
        <v>1093</v>
      </c>
      <c r="G217" s="1510">
        <v>100</v>
      </c>
      <c r="H217" s="1510" t="s">
        <v>1081</v>
      </c>
      <c r="I217" s="1506"/>
      <c r="J217" s="1506"/>
      <c r="K217" s="559"/>
      <c r="L217" s="559"/>
      <c r="M217" s="559"/>
      <c r="N217" s="559"/>
      <c r="O217" s="559"/>
    </row>
    <row r="218" spans="1:15" s="1341" customFormat="1" ht="21" customHeight="1">
      <c r="A218" s="1503"/>
      <c r="B218" s="1509" t="s">
        <v>433</v>
      </c>
      <c r="C218" s="1505" t="s">
        <v>6</v>
      </c>
      <c r="D218" s="1500">
        <v>19</v>
      </c>
      <c r="E218" s="1498">
        <v>18.5</v>
      </c>
      <c r="F218" s="1498">
        <v>18.5</v>
      </c>
      <c r="G218" s="1500">
        <f>F218/E218%</f>
        <v>100</v>
      </c>
      <c r="H218" s="1500">
        <v>18</v>
      </c>
      <c r="I218" s="1506"/>
      <c r="J218" s="1506"/>
      <c r="K218" s="559"/>
      <c r="L218" s="559"/>
      <c r="M218" s="559"/>
      <c r="N218" s="559"/>
      <c r="O218" s="559"/>
    </row>
    <row r="219" spans="1:15" s="1341" customFormat="1" ht="21" customHeight="1">
      <c r="A219" s="1540"/>
      <c r="B219" s="1560" t="s">
        <v>972</v>
      </c>
      <c r="C219" s="1542" t="s">
        <v>6</v>
      </c>
      <c r="D219" s="1572">
        <v>75</v>
      </c>
      <c r="E219" s="1585">
        <v>83.3</v>
      </c>
      <c r="F219" s="1585">
        <v>91.6</v>
      </c>
      <c r="G219" s="1544">
        <f>F219/E219%</f>
        <v>109.9639855942377</v>
      </c>
      <c r="H219" s="1572">
        <v>100</v>
      </c>
      <c r="I219" s="1545"/>
      <c r="J219" s="1545"/>
      <c r="K219" s="559"/>
      <c r="L219" s="559"/>
      <c r="M219" s="559"/>
      <c r="N219" s="559"/>
      <c r="O219" s="559"/>
    </row>
    <row r="220" spans="1:15" s="1341" customFormat="1" ht="21" customHeight="1">
      <c r="A220" s="1503"/>
      <c r="B220" s="1509" t="s">
        <v>434</v>
      </c>
      <c r="C220" s="1505" t="s">
        <v>6</v>
      </c>
      <c r="D220" s="1498">
        <v>88.5</v>
      </c>
      <c r="E220" s="1500">
        <v>89</v>
      </c>
      <c r="F220" s="1500">
        <v>89</v>
      </c>
      <c r="G220" s="1500">
        <f>F220/E220%</f>
        <v>100</v>
      </c>
      <c r="H220" s="1500">
        <v>90</v>
      </c>
      <c r="I220" s="1506"/>
      <c r="J220" s="1506"/>
      <c r="K220" s="559"/>
      <c r="L220" s="559"/>
      <c r="M220" s="559"/>
      <c r="N220" s="559"/>
      <c r="O220" s="559"/>
    </row>
    <row r="221" spans="1:15" s="1341" customFormat="1" ht="21" customHeight="1">
      <c r="A221" s="1445">
        <v>13</v>
      </c>
      <c r="B221" s="1446" t="s">
        <v>435</v>
      </c>
      <c r="C221" s="1338"/>
      <c r="D221" s="1478"/>
      <c r="E221" s="1478"/>
      <c r="F221" s="1478"/>
      <c r="G221" s="1478"/>
      <c r="H221" s="1478"/>
      <c r="I221" s="1469"/>
      <c r="J221" s="1469"/>
      <c r="K221" s="559"/>
      <c r="L221" s="559"/>
      <c r="M221" s="559"/>
      <c r="N221" s="559"/>
      <c r="O221" s="559"/>
    </row>
    <row r="222" spans="1:15" s="1341" customFormat="1" ht="21" customHeight="1">
      <c r="A222" s="389"/>
      <c r="B222" s="435" t="s">
        <v>1047</v>
      </c>
      <c r="C222" s="1456" t="s">
        <v>1025</v>
      </c>
      <c r="D222" s="1526" t="s">
        <v>1076</v>
      </c>
      <c r="E222" s="1458" t="s">
        <v>1077</v>
      </c>
      <c r="F222" s="1457">
        <v>53.6</v>
      </c>
      <c r="G222" s="1458">
        <f>F222/E222%</f>
        <v>100.82768999247556</v>
      </c>
      <c r="H222" s="1457">
        <v>54.8</v>
      </c>
      <c r="I222" s="1488"/>
      <c r="J222" s="1488"/>
      <c r="K222" s="559"/>
      <c r="L222" s="559"/>
      <c r="M222" s="559"/>
      <c r="N222" s="559"/>
      <c r="O222" s="559"/>
    </row>
    <row r="223" spans="1:15" s="1341" customFormat="1" ht="21" customHeight="1">
      <c r="A223" s="389"/>
      <c r="B223" s="1530" t="s">
        <v>1092</v>
      </c>
      <c r="C223" s="1481" t="s">
        <v>662</v>
      </c>
      <c r="D223" s="1526">
        <v>0.89</v>
      </c>
      <c r="E223" s="1459">
        <v>0.81</v>
      </c>
      <c r="F223" s="1459">
        <v>0.81</v>
      </c>
      <c r="G223" s="1458">
        <f>F223/E223%</f>
        <v>99.99999999999999</v>
      </c>
      <c r="H223" s="1459">
        <v>0.71</v>
      </c>
      <c r="I223" s="1488"/>
      <c r="J223" s="1488"/>
      <c r="K223" s="559"/>
      <c r="L223" s="559"/>
      <c r="M223" s="559"/>
      <c r="N223" s="559"/>
      <c r="O223" s="559"/>
    </row>
    <row r="224" spans="1:15" s="1341" customFormat="1" ht="21" customHeight="1">
      <c r="A224" s="389"/>
      <c r="B224" s="1531" t="s">
        <v>655</v>
      </c>
      <c r="C224" s="1532" t="s">
        <v>656</v>
      </c>
      <c r="D224" s="1526">
        <v>554</v>
      </c>
      <c r="E224" s="1458">
        <v>605</v>
      </c>
      <c r="F224" s="1458">
        <v>450</v>
      </c>
      <c r="G224" s="1458">
        <f>F224/E224%</f>
        <v>74.3801652892562</v>
      </c>
      <c r="H224" s="1458">
        <v>655</v>
      </c>
      <c r="I224" s="1488" t="s">
        <v>1075</v>
      </c>
      <c r="J224" s="1488"/>
      <c r="K224" s="559"/>
      <c r="L224" s="559"/>
      <c r="M224" s="559"/>
      <c r="N224" s="559"/>
      <c r="O224" s="559"/>
    </row>
    <row r="225" spans="1:15" s="1341" customFormat="1" ht="21" customHeight="1">
      <c r="A225" s="389"/>
      <c r="B225" s="1533" t="s">
        <v>1080</v>
      </c>
      <c r="C225" s="1532" t="s">
        <v>654</v>
      </c>
      <c r="D225" s="1458">
        <v>2403</v>
      </c>
      <c r="E225" s="1464">
        <v>2650</v>
      </c>
      <c r="F225" s="1464">
        <v>2560</v>
      </c>
      <c r="G225" s="1458">
        <f>F225/E225%</f>
        <v>96.60377358490567</v>
      </c>
      <c r="H225" s="1464">
        <v>2888</v>
      </c>
      <c r="I225" s="1488" t="s">
        <v>1075</v>
      </c>
      <c r="J225" s="1488"/>
      <c r="K225" s="559"/>
      <c r="L225" s="559"/>
      <c r="M225" s="559"/>
      <c r="N225" s="559"/>
      <c r="O225" s="559"/>
    </row>
    <row r="226" spans="1:15" s="1341" customFormat="1" ht="21" customHeight="1">
      <c r="A226" s="1445">
        <v>14</v>
      </c>
      <c r="B226" s="1446" t="s">
        <v>436</v>
      </c>
      <c r="C226" s="1338"/>
      <c r="D226" s="1475"/>
      <c r="E226" s="1475"/>
      <c r="F226" s="1475"/>
      <c r="G226" s="1475"/>
      <c r="H226" s="1475"/>
      <c r="I226" s="1464"/>
      <c r="J226" s="1464"/>
      <c r="K226" s="559"/>
      <c r="L226" s="559"/>
      <c r="M226" s="559"/>
      <c r="N226" s="559"/>
      <c r="O226" s="559"/>
    </row>
    <row r="227" spans="1:15" s="1341" customFormat="1" ht="21" customHeight="1">
      <c r="A227" s="389"/>
      <c r="B227" s="1455" t="s">
        <v>437</v>
      </c>
      <c r="C227" s="1456" t="s">
        <v>6</v>
      </c>
      <c r="D227" s="1527">
        <v>100</v>
      </c>
      <c r="E227" s="1534">
        <v>100</v>
      </c>
      <c r="F227" s="1475">
        <v>100</v>
      </c>
      <c r="G227" s="1475">
        <f aca="true" t="shared" si="4" ref="G227:G233">F227/E227%</f>
        <v>100</v>
      </c>
      <c r="H227" s="1534">
        <v>100</v>
      </c>
      <c r="I227" s="1489"/>
      <c r="J227" s="1489"/>
      <c r="K227" s="559"/>
      <c r="L227" s="559"/>
      <c r="M227" s="559"/>
      <c r="N227" s="559"/>
      <c r="O227" s="559"/>
    </row>
    <row r="228" spans="1:15" s="1341" customFormat="1" ht="21" customHeight="1">
      <c r="A228" s="1540"/>
      <c r="B228" s="1541" t="s">
        <v>438</v>
      </c>
      <c r="C228" s="1542" t="s">
        <v>6</v>
      </c>
      <c r="D228" s="1585">
        <v>88.5</v>
      </c>
      <c r="E228" s="1572">
        <v>89</v>
      </c>
      <c r="F228" s="1585">
        <v>90.3</v>
      </c>
      <c r="G228" s="1591">
        <f t="shared" si="4"/>
        <v>101.46067415730337</v>
      </c>
      <c r="H228" s="1572">
        <v>90</v>
      </c>
      <c r="I228" s="1545"/>
      <c r="J228" s="1545"/>
      <c r="K228" s="559"/>
      <c r="L228" s="559"/>
      <c r="M228" s="559"/>
      <c r="N228" s="559"/>
      <c r="O228" s="559"/>
    </row>
    <row r="229" spans="1:15" s="1341" customFormat="1" ht="21" customHeight="1">
      <c r="A229" s="1540"/>
      <c r="B229" s="1541" t="s">
        <v>1048</v>
      </c>
      <c r="C229" s="1542" t="s">
        <v>6</v>
      </c>
      <c r="D229" s="1572">
        <v>87</v>
      </c>
      <c r="E229" s="1572">
        <v>87</v>
      </c>
      <c r="F229" s="1572">
        <v>93</v>
      </c>
      <c r="G229" s="1591">
        <f t="shared" si="4"/>
        <v>106.89655172413794</v>
      </c>
      <c r="H229" s="1572">
        <v>93</v>
      </c>
      <c r="I229" s="1545"/>
      <c r="J229" s="1545"/>
      <c r="K229" s="559"/>
      <c r="L229" s="559"/>
      <c r="M229" s="559"/>
      <c r="N229" s="559"/>
      <c r="O229" s="559"/>
    </row>
    <row r="230" spans="1:15" s="1341" customFormat="1" ht="21" customHeight="1">
      <c r="A230" s="389"/>
      <c r="B230" s="1455" t="s">
        <v>1049</v>
      </c>
      <c r="C230" s="1456" t="s">
        <v>6</v>
      </c>
      <c r="D230" s="1458">
        <v>50</v>
      </c>
      <c r="E230" s="1458">
        <v>50</v>
      </c>
      <c r="F230" s="1458">
        <v>50</v>
      </c>
      <c r="G230" s="1475">
        <f t="shared" si="4"/>
        <v>100</v>
      </c>
      <c r="H230" s="1458">
        <v>50</v>
      </c>
      <c r="I230" s="1489"/>
      <c r="J230" s="1489"/>
      <c r="K230" s="559"/>
      <c r="L230" s="559"/>
      <c r="M230" s="559"/>
      <c r="N230" s="559"/>
      <c r="O230" s="559"/>
    </row>
    <row r="231" spans="1:15" s="1341" customFormat="1" ht="21" customHeight="1">
      <c r="A231" s="1540"/>
      <c r="B231" s="1541" t="s">
        <v>441</v>
      </c>
      <c r="C231" s="1542" t="s">
        <v>6</v>
      </c>
      <c r="D231" s="1572">
        <v>92</v>
      </c>
      <c r="E231" s="1572">
        <v>95</v>
      </c>
      <c r="F231" s="1572">
        <v>85</v>
      </c>
      <c r="G231" s="1591">
        <f t="shared" si="4"/>
        <v>89.47368421052632</v>
      </c>
      <c r="H231" s="1572">
        <v>90</v>
      </c>
      <c r="I231" s="1545" t="s">
        <v>1075</v>
      </c>
      <c r="J231" s="1545"/>
      <c r="K231" s="559"/>
      <c r="L231" s="559"/>
      <c r="M231" s="559"/>
      <c r="N231" s="559"/>
      <c r="O231" s="559"/>
    </row>
    <row r="232" spans="1:15" s="1341" customFormat="1" ht="21" customHeight="1">
      <c r="A232" s="1540"/>
      <c r="B232" s="1560" t="s">
        <v>442</v>
      </c>
      <c r="C232" s="1542" t="s">
        <v>6</v>
      </c>
      <c r="D232" s="1572">
        <v>100</v>
      </c>
      <c r="E232" s="1572">
        <v>100</v>
      </c>
      <c r="F232" s="1572">
        <v>100</v>
      </c>
      <c r="G232" s="1591">
        <f t="shared" si="4"/>
        <v>100</v>
      </c>
      <c r="H232" s="1572">
        <v>100</v>
      </c>
      <c r="I232" s="1545"/>
      <c r="J232" s="1545"/>
      <c r="K232" s="559"/>
      <c r="L232" s="559"/>
      <c r="M232" s="559"/>
      <c r="N232" s="559"/>
      <c r="O232" s="559"/>
    </row>
    <row r="233" spans="1:15" s="1341" customFormat="1" ht="21" customHeight="1">
      <c r="A233" s="389"/>
      <c r="B233" s="1455" t="s">
        <v>443</v>
      </c>
      <c r="C233" s="1456" t="s">
        <v>6</v>
      </c>
      <c r="D233" s="1466">
        <v>100</v>
      </c>
      <c r="E233" s="1466">
        <v>100</v>
      </c>
      <c r="F233" s="1466">
        <v>100</v>
      </c>
      <c r="G233" s="1475">
        <f t="shared" si="4"/>
        <v>100</v>
      </c>
      <c r="H233" s="1466">
        <v>100</v>
      </c>
      <c r="I233" s="1489"/>
      <c r="J233" s="1489"/>
      <c r="K233" s="559"/>
      <c r="L233" s="559"/>
      <c r="M233" s="559"/>
      <c r="N233" s="559"/>
      <c r="O233" s="559"/>
    </row>
    <row r="234" spans="1:15" s="1341" customFormat="1" ht="21" customHeight="1">
      <c r="A234" s="1452"/>
      <c r="B234" s="1453" t="s">
        <v>462</v>
      </c>
      <c r="C234" s="1344" t="s">
        <v>463</v>
      </c>
      <c r="D234" s="1352"/>
      <c r="E234" s="1352"/>
      <c r="F234" s="1352"/>
      <c r="G234" s="1352"/>
      <c r="H234" s="1352"/>
      <c r="I234" s="1369"/>
      <c r="J234" s="1369"/>
      <c r="K234" s="559"/>
      <c r="L234" s="559"/>
      <c r="M234" s="559"/>
      <c r="N234" s="559"/>
      <c r="O234" s="559"/>
    </row>
    <row r="235" spans="1:15" s="1341" customFormat="1" ht="21" customHeight="1">
      <c r="A235" s="1452"/>
      <c r="B235" s="1468" t="s">
        <v>464</v>
      </c>
      <c r="C235" s="1344" t="s">
        <v>463</v>
      </c>
      <c r="D235" s="1477"/>
      <c r="E235" s="1477"/>
      <c r="F235" s="1477"/>
      <c r="G235" s="1477"/>
      <c r="H235" s="1477"/>
      <c r="I235" s="1464"/>
      <c r="J235" s="1464"/>
      <c r="K235" s="559"/>
      <c r="L235" s="559"/>
      <c r="M235" s="559"/>
      <c r="N235" s="559"/>
      <c r="O235" s="559"/>
    </row>
    <row r="236" spans="1:15" s="1341" customFormat="1" ht="21" customHeight="1">
      <c r="A236" s="1445">
        <v>15</v>
      </c>
      <c r="B236" s="1446" t="s">
        <v>444</v>
      </c>
      <c r="C236" s="1338"/>
      <c r="D236" s="1491"/>
      <c r="E236" s="1491"/>
      <c r="F236" s="1491"/>
      <c r="G236" s="1491"/>
      <c r="H236" s="1491"/>
      <c r="I236" s="1464"/>
      <c r="J236" s="1464"/>
      <c r="K236" s="559"/>
      <c r="L236" s="559"/>
      <c r="M236" s="559"/>
      <c r="N236" s="559"/>
      <c r="O236" s="559"/>
    </row>
    <row r="237" spans="1:15" s="1341" customFormat="1" ht="21" customHeight="1">
      <c r="A237" s="1540"/>
      <c r="B237" s="1592" t="s">
        <v>954</v>
      </c>
      <c r="C237" s="1542" t="s">
        <v>6</v>
      </c>
      <c r="D237" s="1593">
        <v>8.69</v>
      </c>
      <c r="E237" s="1593">
        <v>5.89</v>
      </c>
      <c r="F237" s="1593">
        <v>6.35</v>
      </c>
      <c r="G237" s="1591"/>
      <c r="H237" s="1593">
        <v>3.89</v>
      </c>
      <c r="I237" s="1545" t="s">
        <v>1075</v>
      </c>
      <c r="J237" s="1903"/>
      <c r="K237" s="559"/>
      <c r="L237" s="559"/>
      <c r="M237" s="559"/>
      <c r="N237" s="559"/>
      <c r="O237" s="559"/>
    </row>
    <row r="238" spans="1:15" s="1341" customFormat="1" ht="21" customHeight="1">
      <c r="A238" s="416"/>
      <c r="B238" s="417" t="s">
        <v>1068</v>
      </c>
      <c r="C238" s="1479" t="s">
        <v>6</v>
      </c>
      <c r="D238" s="1459">
        <v>17.02</v>
      </c>
      <c r="E238" s="1459">
        <f>D238-4</f>
        <v>13.02</v>
      </c>
      <c r="F238" s="1553">
        <v>12.47</v>
      </c>
      <c r="G238" s="1475"/>
      <c r="H238" s="1459">
        <v>9.02</v>
      </c>
      <c r="I238" s="1545"/>
      <c r="J238" s="1904"/>
      <c r="K238" s="559"/>
      <c r="L238" s="559"/>
      <c r="M238" s="559"/>
      <c r="N238" s="559"/>
      <c r="O238" s="559"/>
    </row>
    <row r="239" spans="1:15" s="1341" customFormat="1" ht="21" customHeight="1">
      <c r="A239" s="416"/>
      <c r="B239" s="417" t="s">
        <v>1069</v>
      </c>
      <c r="C239" s="1479" t="s">
        <v>6</v>
      </c>
      <c r="D239" s="1470">
        <v>29.23</v>
      </c>
      <c r="E239" s="1470">
        <f>D239-5</f>
        <v>24.23</v>
      </c>
      <c r="F239" s="1470"/>
      <c r="G239" s="1470"/>
      <c r="H239" s="1470"/>
      <c r="I239" s="1369"/>
      <c r="J239" s="1905"/>
      <c r="K239" s="559"/>
      <c r="L239" s="559"/>
      <c r="M239" s="559"/>
      <c r="N239" s="559"/>
      <c r="O239" s="559"/>
    </row>
    <row r="240" spans="1:15" s="1341" customFormat="1" ht="21" customHeight="1">
      <c r="A240" s="1445">
        <v>16</v>
      </c>
      <c r="B240" s="1446" t="s">
        <v>445</v>
      </c>
      <c r="C240" s="1338"/>
      <c r="D240" s="1352"/>
      <c r="E240" s="1352"/>
      <c r="F240" s="1352"/>
      <c r="G240" s="1352"/>
      <c r="H240" s="1352"/>
      <c r="I240" s="1369"/>
      <c r="J240" s="1369"/>
      <c r="K240" s="559"/>
      <c r="L240" s="559"/>
      <c r="M240" s="559"/>
      <c r="N240" s="559"/>
      <c r="O240" s="559"/>
    </row>
    <row r="241" spans="1:15" s="1341" customFormat="1" ht="21" customHeight="1">
      <c r="A241" s="389"/>
      <c r="B241" s="1455" t="s">
        <v>446</v>
      </c>
      <c r="C241" s="1456" t="s">
        <v>6</v>
      </c>
      <c r="D241" s="1458">
        <v>99</v>
      </c>
      <c r="E241" s="1458">
        <v>99</v>
      </c>
      <c r="F241" s="1458">
        <v>99</v>
      </c>
      <c r="G241" s="1475">
        <f>F241/E241%</f>
        <v>100</v>
      </c>
      <c r="H241" s="1458">
        <v>99</v>
      </c>
      <c r="I241" s="1502"/>
      <c r="J241" s="1903"/>
      <c r="K241" s="559"/>
      <c r="L241" s="559"/>
      <c r="M241" s="559"/>
      <c r="N241" s="559"/>
      <c r="O241" s="559"/>
    </row>
    <row r="242" spans="1:15" s="1341" customFormat="1" ht="21" customHeight="1">
      <c r="A242" s="389"/>
      <c r="B242" s="1461" t="s">
        <v>447</v>
      </c>
      <c r="C242" s="1456" t="s">
        <v>6</v>
      </c>
      <c r="D242" s="1466">
        <v>100</v>
      </c>
      <c r="E242" s="1466">
        <v>100</v>
      </c>
      <c r="F242" s="1466">
        <v>100</v>
      </c>
      <c r="G242" s="1475">
        <f>F242/E242%</f>
        <v>100</v>
      </c>
      <c r="H242" s="1466">
        <v>100</v>
      </c>
      <c r="I242" s="1502"/>
      <c r="J242" s="1905"/>
      <c r="K242" s="559"/>
      <c r="L242" s="559"/>
      <c r="M242" s="559"/>
      <c r="N242" s="559"/>
      <c r="O242" s="559"/>
    </row>
    <row r="243" spans="1:15" s="1341" customFormat="1" ht="21" customHeight="1">
      <c r="A243" s="1445">
        <v>17</v>
      </c>
      <c r="B243" s="1446" t="s">
        <v>448</v>
      </c>
      <c r="C243" s="1338"/>
      <c r="D243" s="1352"/>
      <c r="E243" s="1352"/>
      <c r="F243" s="1352"/>
      <c r="G243" s="1352"/>
      <c r="H243" s="1352"/>
      <c r="I243" s="1352"/>
      <c r="J243" s="1352"/>
      <c r="K243" s="559"/>
      <c r="L243" s="559"/>
      <c r="M243" s="559"/>
      <c r="N243" s="559"/>
      <c r="O243" s="559"/>
    </row>
    <row r="244" spans="1:15" s="1341" customFormat="1" ht="21" customHeight="1">
      <c r="A244" s="1503"/>
      <c r="B244" s="1504" t="s">
        <v>957</v>
      </c>
      <c r="C244" s="1505" t="s">
        <v>6</v>
      </c>
      <c r="D244" s="1499">
        <v>93</v>
      </c>
      <c r="E244" s="1508">
        <v>93.4</v>
      </c>
      <c r="F244" s="1508">
        <v>93.4</v>
      </c>
      <c r="G244" s="1500">
        <f>F244/E244%</f>
        <v>100</v>
      </c>
      <c r="H244" s="1499">
        <v>94</v>
      </c>
      <c r="I244" s="1506"/>
      <c r="J244" s="1506"/>
      <c r="K244" s="559"/>
      <c r="L244" s="559"/>
      <c r="M244" s="559"/>
      <c r="N244" s="559"/>
      <c r="O244" s="559"/>
    </row>
    <row r="245" spans="1:15" s="1341" customFormat="1" ht="21" customHeight="1">
      <c r="A245" s="1452"/>
      <c r="B245" s="1453" t="s">
        <v>473</v>
      </c>
      <c r="C245" s="1344" t="s">
        <v>6</v>
      </c>
      <c r="D245" s="1466"/>
      <c r="E245" s="1466"/>
      <c r="F245" s="1466"/>
      <c r="G245" s="1466"/>
      <c r="H245" s="1466"/>
      <c r="I245" s="1465"/>
      <c r="J245" s="1465"/>
      <c r="K245" s="559"/>
      <c r="L245" s="559"/>
      <c r="M245" s="559"/>
      <c r="N245" s="559"/>
      <c r="O245" s="559"/>
    </row>
    <row r="246" spans="1:15" s="1341" customFormat="1" ht="21" customHeight="1">
      <c r="A246" s="1445">
        <v>18</v>
      </c>
      <c r="B246" s="1446" t="s">
        <v>449</v>
      </c>
      <c r="C246" s="1338"/>
      <c r="D246" s="1352"/>
      <c r="E246" s="1352"/>
      <c r="F246" s="1352"/>
      <c r="G246" s="1352"/>
      <c r="H246" s="1352"/>
      <c r="I246" s="1369"/>
      <c r="J246" s="1369"/>
      <c r="K246" s="559"/>
      <c r="L246" s="559"/>
      <c r="M246" s="559"/>
      <c r="N246" s="559"/>
      <c r="O246" s="559"/>
    </row>
    <row r="247" spans="1:15" s="1341" customFormat="1" ht="21" customHeight="1">
      <c r="A247" s="1503"/>
      <c r="B247" s="1504" t="s">
        <v>1050</v>
      </c>
      <c r="C247" s="1505" t="s">
        <v>6</v>
      </c>
      <c r="D247" s="1499">
        <v>97</v>
      </c>
      <c r="E247" s="1499">
        <v>97</v>
      </c>
      <c r="F247" s="1499">
        <v>97</v>
      </c>
      <c r="G247" s="1500">
        <f>F247/E247%</f>
        <v>100</v>
      </c>
      <c r="H247" s="1499">
        <v>97</v>
      </c>
      <c r="I247" s="1506"/>
      <c r="J247" s="1506"/>
      <c r="K247" s="559"/>
      <c r="L247" s="559"/>
      <c r="M247" s="559"/>
      <c r="N247" s="559"/>
      <c r="O247" s="559"/>
    </row>
    <row r="248" spans="1:15" s="1341" customFormat="1" ht="21" customHeight="1">
      <c r="A248" s="1503"/>
      <c r="B248" s="1507" t="s">
        <v>1051</v>
      </c>
      <c r="C248" s="1505" t="s">
        <v>6</v>
      </c>
      <c r="D248" s="1500">
        <v>55</v>
      </c>
      <c r="E248" s="1500">
        <v>55</v>
      </c>
      <c r="F248" s="1500">
        <v>55</v>
      </c>
      <c r="G248" s="1500">
        <f>F248/E248%</f>
        <v>99.99999999999999</v>
      </c>
      <c r="H248" s="1500">
        <v>60</v>
      </c>
      <c r="I248" s="1500"/>
      <c r="J248" s="1500"/>
      <c r="K248" s="559"/>
      <c r="L248" s="559"/>
      <c r="M248" s="559"/>
      <c r="N248" s="559"/>
      <c r="O248" s="559"/>
    </row>
    <row r="249" spans="1:15" s="1341" customFormat="1" ht="21" customHeight="1">
      <c r="A249" s="1452"/>
      <c r="B249" s="1468" t="s">
        <v>475</v>
      </c>
      <c r="C249" s="1344" t="s">
        <v>6</v>
      </c>
      <c r="D249" s="1352"/>
      <c r="E249" s="1352"/>
      <c r="F249" s="1352"/>
      <c r="G249" s="1352"/>
      <c r="H249" s="1352"/>
      <c r="I249" s="1471"/>
      <c r="J249" s="1471"/>
      <c r="K249" s="559"/>
      <c r="L249" s="559"/>
      <c r="M249" s="559"/>
      <c r="N249" s="559"/>
      <c r="O249" s="559"/>
    </row>
    <row r="250" spans="1:15" s="1341" customFormat="1" ht="21" customHeight="1">
      <c r="A250" s="1563">
        <v>19</v>
      </c>
      <c r="B250" s="1564" t="s">
        <v>470</v>
      </c>
      <c r="C250" s="1565"/>
      <c r="D250" s="1566"/>
      <c r="E250" s="1566"/>
      <c r="F250" s="1566"/>
      <c r="G250" s="1566"/>
      <c r="H250" s="1566"/>
      <c r="I250" s="1567"/>
      <c r="J250" s="1567"/>
      <c r="K250" s="559"/>
      <c r="L250" s="559"/>
      <c r="M250" s="559"/>
      <c r="N250" s="559"/>
      <c r="O250" s="559"/>
    </row>
    <row r="251" spans="1:15" s="1341" customFormat="1" ht="21" customHeight="1">
      <c r="A251" s="1540"/>
      <c r="B251" s="1569" t="s">
        <v>1052</v>
      </c>
      <c r="C251" s="1542" t="s">
        <v>452</v>
      </c>
      <c r="D251" s="1561">
        <v>80.755</v>
      </c>
      <c r="E251" s="1570">
        <v>82.84</v>
      </c>
      <c r="F251" s="1571">
        <v>74.436</v>
      </c>
      <c r="G251" s="1544">
        <f>F251/E251%</f>
        <v>89.85514244326413</v>
      </c>
      <c r="H251" s="1572">
        <v>88</v>
      </c>
      <c r="I251" s="1545" t="s">
        <v>1075</v>
      </c>
      <c r="J251" s="1545"/>
      <c r="K251" s="559"/>
      <c r="L251" s="559"/>
      <c r="M251" s="559"/>
      <c r="N251" s="559"/>
      <c r="O251" s="559"/>
    </row>
    <row r="252" spans="1:15" s="1341" customFormat="1" ht="21" customHeight="1">
      <c r="A252" s="1573"/>
      <c r="B252" s="1574" t="s">
        <v>1070</v>
      </c>
      <c r="C252" s="1575" t="s">
        <v>1045</v>
      </c>
      <c r="D252" s="1544">
        <v>9500</v>
      </c>
      <c r="E252" s="1544">
        <v>9280</v>
      </c>
      <c r="F252" s="1543"/>
      <c r="G252" s="1544"/>
      <c r="H252" s="1576">
        <v>500</v>
      </c>
      <c r="I252" s="1544"/>
      <c r="J252" s="1544"/>
      <c r="K252" s="559"/>
      <c r="L252" s="559"/>
      <c r="M252" s="559"/>
      <c r="N252" s="559"/>
      <c r="O252" s="559"/>
    </row>
    <row r="253" spans="1:15" s="1341" customFormat="1" ht="21" customHeight="1">
      <c r="A253" s="1540"/>
      <c r="B253" s="1569" t="s">
        <v>1053</v>
      </c>
      <c r="C253" s="1542" t="s">
        <v>452</v>
      </c>
      <c r="D253" s="1543">
        <v>455.5</v>
      </c>
      <c r="E253" s="1543">
        <v>458.5</v>
      </c>
      <c r="F253" s="1544">
        <v>465</v>
      </c>
      <c r="G253" s="1544">
        <f>F253/E253%</f>
        <v>101.41766630316249</v>
      </c>
      <c r="H253" s="1544">
        <v>500</v>
      </c>
      <c r="I253" s="1545"/>
      <c r="J253" s="1545"/>
      <c r="K253" s="559"/>
      <c r="L253" s="559"/>
      <c r="M253" s="559"/>
      <c r="N253" s="559"/>
      <c r="O253" s="559"/>
    </row>
    <row r="254" spans="1:15" s="1341" customFormat="1" ht="21" customHeight="1">
      <c r="A254" s="1452"/>
      <c r="B254" s="1453" t="s">
        <v>454</v>
      </c>
      <c r="C254" s="1344" t="s">
        <v>455</v>
      </c>
      <c r="D254" s="1352"/>
      <c r="E254" s="1352"/>
      <c r="F254" s="1352"/>
      <c r="G254" s="1352"/>
      <c r="H254" s="1352"/>
      <c r="I254" s="1458"/>
      <c r="J254" s="1458"/>
      <c r="K254" s="559"/>
      <c r="L254" s="559"/>
      <c r="M254" s="559"/>
      <c r="N254" s="559"/>
      <c r="O254" s="559"/>
    </row>
    <row r="255" spans="1:15" s="1341" customFormat="1" ht="21" customHeight="1">
      <c r="A255" s="1445">
        <v>20</v>
      </c>
      <c r="B255" s="1480" t="s">
        <v>1054</v>
      </c>
      <c r="C255" s="1338"/>
      <c r="D255" s="1352"/>
      <c r="E255" s="1352"/>
      <c r="F255" s="1352"/>
      <c r="G255" s="1352"/>
      <c r="H255" s="1352"/>
      <c r="I255" s="1458"/>
      <c r="J255" s="1458"/>
      <c r="K255" s="559"/>
      <c r="L255" s="559"/>
      <c r="M255" s="559"/>
      <c r="N255" s="559"/>
      <c r="O255" s="559"/>
    </row>
    <row r="256" spans="1:15" s="1341" customFormat="1" ht="21" customHeight="1">
      <c r="A256" s="1503"/>
      <c r="B256" s="1538" t="s">
        <v>1055</v>
      </c>
      <c r="C256" s="1505" t="s">
        <v>6</v>
      </c>
      <c r="D256" s="1508">
        <v>33.2</v>
      </c>
      <c r="E256" s="1508">
        <v>34.9</v>
      </c>
      <c r="F256" s="1508">
        <v>34.9</v>
      </c>
      <c r="G256" s="1508"/>
      <c r="H256" s="1508">
        <v>35.1</v>
      </c>
      <c r="I256" s="1521"/>
      <c r="J256" s="1521"/>
      <c r="K256" s="559"/>
      <c r="L256" s="559"/>
      <c r="M256" s="559"/>
      <c r="N256" s="559"/>
      <c r="O256" s="559"/>
    </row>
    <row r="257" spans="1:15" s="1341" customFormat="1" ht="21" customHeight="1">
      <c r="A257" s="1540"/>
      <c r="B257" s="1569" t="s">
        <v>1056</v>
      </c>
      <c r="C257" s="1588" t="s">
        <v>413</v>
      </c>
      <c r="D257" s="1585">
        <v>505.7</v>
      </c>
      <c r="E257" s="1572">
        <v>420</v>
      </c>
      <c r="F257" s="1585">
        <v>466.7</v>
      </c>
      <c r="G257" s="1544">
        <f>F257/E257%</f>
        <v>111.1190476190476</v>
      </c>
      <c r="H257" s="1572">
        <v>320</v>
      </c>
      <c r="I257" s="1589"/>
      <c r="J257" s="1589"/>
      <c r="K257" s="559"/>
      <c r="L257" s="559"/>
      <c r="M257" s="559"/>
      <c r="N257" s="559"/>
      <c r="O257" s="559"/>
    </row>
    <row r="258" spans="1:15" s="1341" customFormat="1" ht="21" customHeight="1">
      <c r="A258" s="1493">
        <v>21</v>
      </c>
      <c r="B258" s="1494" t="s">
        <v>1073</v>
      </c>
      <c r="C258" s="1495" t="s">
        <v>1074</v>
      </c>
      <c r="D258" s="1496">
        <v>20</v>
      </c>
      <c r="E258" s="1496">
        <v>22</v>
      </c>
      <c r="F258" s="1496">
        <v>22</v>
      </c>
      <c r="G258" s="1497"/>
      <c r="H258" s="1497">
        <v>24</v>
      </c>
      <c r="I258" s="1497"/>
      <c r="J258" s="1497"/>
      <c r="K258" s="559"/>
      <c r="L258" s="559"/>
      <c r="M258" s="559"/>
      <c r="N258" s="559"/>
      <c r="O258" s="559"/>
    </row>
    <row r="259" spans="1:15" s="1341" customFormat="1" ht="21" customHeight="1">
      <c r="A259" s="1482"/>
      <c r="B259" s="1483" t="s">
        <v>1071</v>
      </c>
      <c r="C259" s="1456" t="s">
        <v>1057</v>
      </c>
      <c r="D259" s="1458" t="s">
        <v>1075</v>
      </c>
      <c r="E259" s="1487" t="s">
        <v>1057</v>
      </c>
      <c r="F259" s="1487" t="s">
        <v>1057</v>
      </c>
      <c r="G259" s="1487"/>
      <c r="H259" s="1487" t="s">
        <v>1057</v>
      </c>
      <c r="I259" s="1458"/>
      <c r="J259" s="1458"/>
      <c r="K259" s="559"/>
      <c r="L259" s="559"/>
      <c r="M259" s="559"/>
      <c r="N259" s="559"/>
      <c r="O259" s="559"/>
    </row>
    <row r="260" spans="1:15" s="1341" customFormat="1" ht="21" customHeight="1">
      <c r="A260" s="1484"/>
      <c r="B260" s="1485" t="s">
        <v>1061</v>
      </c>
      <c r="C260" s="1479" t="s">
        <v>1057</v>
      </c>
      <c r="D260" s="1458" t="s">
        <v>1075</v>
      </c>
      <c r="E260" s="1411"/>
      <c r="F260" s="1411"/>
      <c r="G260" s="1411"/>
      <c r="H260" s="1411"/>
      <c r="I260" s="1458"/>
      <c r="J260" s="1458"/>
      <c r="K260" s="559"/>
      <c r="L260" s="559"/>
      <c r="M260" s="559"/>
      <c r="N260" s="559"/>
      <c r="O260" s="559"/>
    </row>
    <row r="261" spans="1:15" s="1341" customFormat="1" ht="21" customHeight="1">
      <c r="A261" s="1484"/>
      <c r="B261" s="1485" t="s">
        <v>1084</v>
      </c>
      <c r="C261" s="1479"/>
      <c r="D261" s="1466"/>
      <c r="E261" s="1487" t="s">
        <v>1057</v>
      </c>
      <c r="F261" s="1487" t="s">
        <v>1057</v>
      </c>
      <c r="G261" s="1487"/>
      <c r="H261" s="1487" t="s">
        <v>1057</v>
      </c>
      <c r="I261" s="1458"/>
      <c r="J261" s="1458"/>
      <c r="K261" s="559"/>
      <c r="L261" s="559"/>
      <c r="M261" s="559"/>
      <c r="N261" s="559"/>
      <c r="O261" s="559"/>
    </row>
    <row r="262" spans="1:15" s="1341" customFormat="1" ht="21" customHeight="1">
      <c r="A262" s="1445">
        <v>22</v>
      </c>
      <c r="B262" s="1446" t="s">
        <v>1058</v>
      </c>
      <c r="C262" s="1338"/>
      <c r="D262" s="1492"/>
      <c r="E262" s="1492"/>
      <c r="F262" s="1492"/>
      <c r="G262" s="1492"/>
      <c r="H262" s="1492"/>
      <c r="I262" s="1458"/>
      <c r="J262" s="1458"/>
      <c r="K262" s="559"/>
      <c r="L262" s="559"/>
      <c r="M262" s="559"/>
      <c r="N262" s="559"/>
      <c r="O262" s="559"/>
    </row>
    <row r="263" spans="1:15" s="1341" customFormat="1" ht="21" customHeight="1">
      <c r="A263" s="389"/>
      <c r="B263" s="435" t="s">
        <v>1059</v>
      </c>
      <c r="C263" s="1456" t="s">
        <v>6</v>
      </c>
      <c r="D263" s="1458">
        <v>70</v>
      </c>
      <c r="E263" s="1458">
        <v>70</v>
      </c>
      <c r="F263" s="1458">
        <v>70</v>
      </c>
      <c r="G263" s="1458"/>
      <c r="H263" s="1458">
        <v>70</v>
      </c>
      <c r="I263" s="1458"/>
      <c r="J263" s="1458"/>
      <c r="K263" s="559"/>
      <c r="L263" s="559"/>
      <c r="M263" s="559"/>
      <c r="N263" s="559"/>
      <c r="O263" s="559"/>
    </row>
    <row r="264" spans="1:15" s="1341" customFormat="1" ht="21" customHeight="1">
      <c r="A264" s="389"/>
      <c r="B264" s="435" t="s">
        <v>1087</v>
      </c>
      <c r="C264" s="1456" t="s">
        <v>6</v>
      </c>
      <c r="D264" s="1458">
        <v>97</v>
      </c>
      <c r="E264" s="1458">
        <v>95</v>
      </c>
      <c r="F264" s="1458">
        <v>100</v>
      </c>
      <c r="G264" s="1458"/>
      <c r="H264" s="1458">
        <v>100</v>
      </c>
      <c r="I264" s="1458"/>
      <c r="J264" s="1458"/>
      <c r="K264" s="559"/>
      <c r="L264" s="559"/>
      <c r="M264" s="559"/>
      <c r="N264" s="559"/>
      <c r="O264" s="559"/>
    </row>
    <row r="265" spans="1:15" s="1341" customFormat="1" ht="21" customHeight="1">
      <c r="A265" s="389"/>
      <c r="B265" s="435" t="s">
        <v>1082</v>
      </c>
      <c r="C265" s="1456" t="s">
        <v>6</v>
      </c>
      <c r="D265" s="1458">
        <v>100</v>
      </c>
      <c r="E265" s="1458">
        <v>100</v>
      </c>
      <c r="F265" s="1458">
        <v>100</v>
      </c>
      <c r="G265" s="1458"/>
      <c r="H265" s="1458">
        <v>100</v>
      </c>
      <c r="I265" s="1458"/>
      <c r="J265" s="1458"/>
      <c r="K265" s="559"/>
      <c r="L265" s="559"/>
      <c r="M265" s="559"/>
      <c r="N265" s="559"/>
      <c r="O265" s="559"/>
    </row>
    <row r="266" spans="1:15" s="1341" customFormat="1" ht="21" customHeight="1">
      <c r="A266" s="389"/>
      <c r="B266" s="435" t="s">
        <v>1072</v>
      </c>
      <c r="C266" s="1456" t="s">
        <v>1057</v>
      </c>
      <c r="D266" s="1467" t="s">
        <v>1083</v>
      </c>
      <c r="E266" s="1467" t="s">
        <v>1083</v>
      </c>
      <c r="F266" s="1467" t="s">
        <v>1083</v>
      </c>
      <c r="G266" s="1467"/>
      <c r="H266" s="1467"/>
      <c r="I266" s="1458"/>
      <c r="J266" s="1458"/>
      <c r="K266" s="559"/>
      <c r="L266" s="559"/>
      <c r="M266" s="559"/>
      <c r="N266" s="559"/>
      <c r="O266" s="559"/>
    </row>
    <row r="267" spans="1:15" s="1341" customFormat="1" ht="21" customHeight="1">
      <c r="A267" s="389"/>
      <c r="B267" s="435" t="s">
        <v>1060</v>
      </c>
      <c r="C267" s="1456" t="s">
        <v>1057</v>
      </c>
      <c r="D267" s="1467" t="s">
        <v>1057</v>
      </c>
      <c r="E267" s="1467" t="s">
        <v>1057</v>
      </c>
      <c r="F267" s="1467" t="s">
        <v>1057</v>
      </c>
      <c r="G267" s="1467"/>
      <c r="H267" s="1467" t="s">
        <v>1057</v>
      </c>
      <c r="I267" s="1458"/>
      <c r="J267" s="1458"/>
      <c r="K267" s="559"/>
      <c r="L267" s="559"/>
      <c r="M267" s="559"/>
      <c r="N267" s="559"/>
      <c r="O267" s="559"/>
    </row>
    <row r="268" spans="2:15" s="1341" customFormat="1" ht="21" customHeight="1">
      <c r="B268" s="559"/>
      <c r="D268" s="1443"/>
      <c r="E268" s="1443"/>
      <c r="F268" s="1443"/>
      <c r="G268" s="1443"/>
      <c r="H268" s="1443"/>
      <c r="K268" s="559"/>
      <c r="L268" s="559"/>
      <c r="M268" s="559"/>
      <c r="N268" s="559"/>
      <c r="O268" s="559"/>
    </row>
    <row r="269" spans="2:15" s="1341" customFormat="1" ht="21" customHeight="1">
      <c r="B269" s="559"/>
      <c r="D269" s="1443"/>
      <c r="E269" s="1443"/>
      <c r="F269" s="1443"/>
      <c r="G269" s="1443"/>
      <c r="H269" s="1443"/>
      <c r="K269" s="559"/>
      <c r="L269" s="559"/>
      <c r="M269" s="559"/>
      <c r="N269" s="559"/>
      <c r="O269" s="559"/>
    </row>
    <row r="270" spans="2:15" s="1341" customFormat="1" ht="21" customHeight="1">
      <c r="B270" s="559"/>
      <c r="D270" s="1443"/>
      <c r="E270" s="1443"/>
      <c r="F270" s="1443"/>
      <c r="G270" s="1443"/>
      <c r="H270" s="1443"/>
      <c r="K270" s="559"/>
      <c r="L270" s="559"/>
      <c r="M270" s="559"/>
      <c r="N270" s="559"/>
      <c r="O270" s="559"/>
    </row>
    <row r="271" spans="2:15" s="1341" customFormat="1" ht="21" customHeight="1">
      <c r="B271" s="559"/>
      <c r="D271" s="1443"/>
      <c r="E271" s="1443"/>
      <c r="F271" s="1443"/>
      <c r="G271" s="1443"/>
      <c r="H271" s="1443"/>
      <c r="K271" s="559"/>
      <c r="L271" s="559"/>
      <c r="M271" s="559"/>
      <c r="N271" s="559"/>
      <c r="O271" s="559"/>
    </row>
    <row r="272" spans="2:15" s="1341" customFormat="1" ht="21" customHeight="1">
      <c r="B272" s="559"/>
      <c r="D272" s="1443"/>
      <c r="E272" s="1443"/>
      <c r="F272" s="1443"/>
      <c r="G272" s="1443"/>
      <c r="H272" s="1443"/>
      <c r="K272" s="559"/>
      <c r="L272" s="559"/>
      <c r="M272" s="559"/>
      <c r="N272" s="559"/>
      <c r="O272" s="559"/>
    </row>
    <row r="273" spans="2:15" s="1341" customFormat="1" ht="21" customHeight="1">
      <c r="B273" s="559"/>
      <c r="D273" s="1443"/>
      <c r="E273" s="1443"/>
      <c r="F273" s="1443"/>
      <c r="G273" s="1443"/>
      <c r="H273" s="1443"/>
      <c r="K273" s="559"/>
      <c r="L273" s="559"/>
      <c r="M273" s="559"/>
      <c r="N273" s="559"/>
      <c r="O273" s="559"/>
    </row>
    <row r="274" spans="2:15" s="1341" customFormat="1" ht="21" customHeight="1">
      <c r="B274" s="559"/>
      <c r="D274" s="1443"/>
      <c r="E274" s="1443"/>
      <c r="F274" s="1443"/>
      <c r="G274" s="1443"/>
      <c r="H274" s="1443"/>
      <c r="K274" s="559"/>
      <c r="L274" s="559"/>
      <c r="M274" s="559"/>
      <c r="N274" s="559"/>
      <c r="O274" s="559"/>
    </row>
    <row r="275" spans="2:15" s="1341" customFormat="1" ht="21" customHeight="1">
      <c r="B275" s="559"/>
      <c r="D275" s="1443"/>
      <c r="E275" s="1443"/>
      <c r="F275" s="1443"/>
      <c r="G275" s="1443"/>
      <c r="H275" s="1443"/>
      <c r="K275" s="559"/>
      <c r="L275" s="559"/>
      <c r="M275" s="559"/>
      <c r="N275" s="559"/>
      <c r="O275" s="559"/>
    </row>
    <row r="276" spans="2:15" s="1341" customFormat="1" ht="21" customHeight="1">
      <c r="B276" s="559"/>
      <c r="D276" s="1443"/>
      <c r="E276" s="1443"/>
      <c r="F276" s="1443"/>
      <c r="G276" s="1443"/>
      <c r="H276" s="1443"/>
      <c r="K276" s="559"/>
      <c r="L276" s="559"/>
      <c r="M276" s="559"/>
      <c r="N276" s="559"/>
      <c r="O276" s="559"/>
    </row>
    <row r="277" spans="2:15" s="1341" customFormat="1" ht="21" customHeight="1">
      <c r="B277" s="559"/>
      <c r="D277" s="1443"/>
      <c r="E277" s="1443"/>
      <c r="F277" s="1443"/>
      <c r="G277" s="1443"/>
      <c r="H277" s="1443"/>
      <c r="K277" s="559"/>
      <c r="L277" s="559"/>
      <c r="M277" s="559"/>
      <c r="N277" s="559"/>
      <c r="O277" s="559"/>
    </row>
    <row r="278" spans="2:15" s="1341" customFormat="1" ht="21" customHeight="1">
      <c r="B278" s="559"/>
      <c r="D278" s="1443"/>
      <c r="E278" s="1443"/>
      <c r="F278" s="1443"/>
      <c r="G278" s="1443"/>
      <c r="H278" s="1443"/>
      <c r="K278" s="559"/>
      <c r="L278" s="559"/>
      <c r="M278" s="559"/>
      <c r="N278" s="559"/>
      <c r="O278" s="559"/>
    </row>
    <row r="279" spans="2:15" s="1341" customFormat="1" ht="21" customHeight="1">
      <c r="B279" s="559"/>
      <c r="D279" s="1443"/>
      <c r="E279" s="1443"/>
      <c r="F279" s="1443"/>
      <c r="G279" s="1443"/>
      <c r="H279" s="1443"/>
      <c r="K279" s="559"/>
      <c r="L279" s="559"/>
      <c r="M279" s="559"/>
      <c r="N279" s="559"/>
      <c r="O279" s="559"/>
    </row>
    <row r="280" spans="2:15" s="1341" customFormat="1" ht="21" customHeight="1">
      <c r="B280" s="559"/>
      <c r="D280" s="1443"/>
      <c r="E280" s="1443"/>
      <c r="F280" s="1443"/>
      <c r="G280" s="1443"/>
      <c r="H280" s="1443"/>
      <c r="K280" s="559"/>
      <c r="L280" s="559"/>
      <c r="M280" s="559"/>
      <c r="N280" s="559"/>
      <c r="O280" s="559"/>
    </row>
    <row r="281" spans="2:15" s="1341" customFormat="1" ht="21" customHeight="1">
      <c r="B281" s="559"/>
      <c r="D281" s="1443"/>
      <c r="E281" s="1443"/>
      <c r="F281" s="1443"/>
      <c r="G281" s="1443"/>
      <c r="H281" s="1443"/>
      <c r="K281" s="559"/>
      <c r="L281" s="559"/>
      <c r="M281" s="559"/>
      <c r="N281" s="559"/>
      <c r="O281" s="559"/>
    </row>
    <row r="282" spans="2:15" s="1341" customFormat="1" ht="21" customHeight="1">
      <c r="B282" s="559"/>
      <c r="D282" s="1443"/>
      <c r="E282" s="1443"/>
      <c r="F282" s="1443"/>
      <c r="G282" s="1443"/>
      <c r="H282" s="1443"/>
      <c r="K282" s="559"/>
      <c r="L282" s="559"/>
      <c r="M282" s="559"/>
      <c r="N282" s="559"/>
      <c r="O282" s="559"/>
    </row>
    <row r="283" spans="2:15" s="1341" customFormat="1" ht="21" customHeight="1">
      <c r="B283" s="559"/>
      <c r="D283" s="1443"/>
      <c r="E283" s="1443"/>
      <c r="F283" s="1443"/>
      <c r="G283" s="1443"/>
      <c r="H283" s="1443"/>
      <c r="K283" s="559"/>
      <c r="L283" s="559"/>
      <c r="M283" s="559"/>
      <c r="N283" s="559"/>
      <c r="O283" s="559"/>
    </row>
    <row r="284" spans="2:15" s="1341" customFormat="1" ht="21" customHeight="1">
      <c r="B284" s="559"/>
      <c r="D284" s="1443"/>
      <c r="E284" s="1443"/>
      <c r="F284" s="1443"/>
      <c r="G284" s="1443"/>
      <c r="H284" s="1443"/>
      <c r="K284" s="559"/>
      <c r="L284" s="559"/>
      <c r="M284" s="559"/>
      <c r="N284" s="559"/>
      <c r="O284" s="559"/>
    </row>
    <row r="285" spans="2:15" s="1341" customFormat="1" ht="21" customHeight="1">
      <c r="B285" s="559"/>
      <c r="D285" s="1443"/>
      <c r="E285" s="1443"/>
      <c r="F285" s="1443"/>
      <c r="G285" s="1443"/>
      <c r="H285" s="1443"/>
      <c r="K285" s="559"/>
      <c r="L285" s="559"/>
      <c r="M285" s="559"/>
      <c r="N285" s="559"/>
      <c r="O285" s="559"/>
    </row>
    <row r="286" spans="2:15" s="1341" customFormat="1" ht="21" customHeight="1">
      <c r="B286" s="559"/>
      <c r="D286" s="1443"/>
      <c r="E286" s="1443"/>
      <c r="F286" s="1443"/>
      <c r="G286" s="1443"/>
      <c r="H286" s="1443"/>
      <c r="K286" s="559"/>
      <c r="L286" s="559"/>
      <c r="M286" s="559"/>
      <c r="N286" s="559"/>
      <c r="O286" s="559"/>
    </row>
    <row r="287" spans="2:15" s="1341" customFormat="1" ht="21" customHeight="1">
      <c r="B287" s="559"/>
      <c r="D287" s="1443"/>
      <c r="E287" s="1443"/>
      <c r="F287" s="1443"/>
      <c r="G287" s="1443"/>
      <c r="H287" s="1443"/>
      <c r="K287" s="559"/>
      <c r="L287" s="559"/>
      <c r="M287" s="559"/>
      <c r="N287" s="559"/>
      <c r="O287" s="559"/>
    </row>
    <row r="288" spans="2:15" s="1341" customFormat="1" ht="21" customHeight="1">
      <c r="B288" s="559"/>
      <c r="D288" s="1443"/>
      <c r="E288" s="1443"/>
      <c r="F288" s="1443"/>
      <c r="G288" s="1443"/>
      <c r="H288" s="1443"/>
      <c r="K288" s="559"/>
      <c r="L288" s="559"/>
      <c r="M288" s="559"/>
      <c r="N288" s="559"/>
      <c r="O288" s="559"/>
    </row>
    <row r="289" spans="2:15" s="1341" customFormat="1" ht="21" customHeight="1">
      <c r="B289" s="559"/>
      <c r="D289" s="1443"/>
      <c r="E289" s="1443"/>
      <c r="F289" s="1443"/>
      <c r="G289" s="1443"/>
      <c r="H289" s="1443"/>
      <c r="K289" s="559"/>
      <c r="L289" s="559"/>
      <c r="M289" s="559"/>
      <c r="N289" s="559"/>
      <c r="O289" s="559"/>
    </row>
    <row r="290" spans="2:15" s="1341" customFormat="1" ht="21" customHeight="1">
      <c r="B290" s="559"/>
      <c r="D290" s="1443"/>
      <c r="E290" s="1443"/>
      <c r="F290" s="1443"/>
      <c r="G290" s="1443"/>
      <c r="H290" s="1443"/>
      <c r="K290" s="559"/>
      <c r="L290" s="559"/>
      <c r="M290" s="559"/>
      <c r="N290" s="559"/>
      <c r="O290" s="559"/>
    </row>
    <row r="291" spans="2:15" s="1341" customFormat="1" ht="21" customHeight="1">
      <c r="B291" s="559"/>
      <c r="D291" s="1443"/>
      <c r="E291" s="1443"/>
      <c r="F291" s="1443"/>
      <c r="G291" s="1443"/>
      <c r="H291" s="1443"/>
      <c r="K291" s="559"/>
      <c r="L291" s="559"/>
      <c r="M291" s="559"/>
      <c r="N291" s="559"/>
      <c r="O291" s="559"/>
    </row>
    <row r="292" spans="2:15" s="1341" customFormat="1" ht="21" customHeight="1">
      <c r="B292" s="559"/>
      <c r="D292" s="1443"/>
      <c r="E292" s="1443"/>
      <c r="F292" s="1443"/>
      <c r="G292" s="1443"/>
      <c r="H292" s="1443"/>
      <c r="K292" s="559"/>
      <c r="L292" s="559"/>
      <c r="M292" s="559"/>
      <c r="N292" s="559"/>
      <c r="O292" s="559"/>
    </row>
    <row r="293" spans="2:15" s="1341" customFormat="1" ht="21" customHeight="1">
      <c r="B293" s="559"/>
      <c r="D293" s="1443"/>
      <c r="E293" s="1443"/>
      <c r="F293" s="1443"/>
      <c r="G293" s="1443"/>
      <c r="H293" s="1443"/>
      <c r="K293" s="559"/>
      <c r="L293" s="559"/>
      <c r="M293" s="559"/>
      <c r="N293" s="559"/>
      <c r="O293" s="559"/>
    </row>
    <row r="294" spans="2:15" s="1341" customFormat="1" ht="21" customHeight="1">
      <c r="B294" s="559"/>
      <c r="D294" s="1443"/>
      <c r="E294" s="1443"/>
      <c r="F294" s="1443"/>
      <c r="G294" s="1443"/>
      <c r="H294" s="1443"/>
      <c r="K294" s="559"/>
      <c r="L294" s="559"/>
      <c r="M294" s="559"/>
      <c r="N294" s="559"/>
      <c r="O294" s="559"/>
    </row>
    <row r="295" spans="2:15" s="1341" customFormat="1" ht="21" customHeight="1">
      <c r="B295" s="559"/>
      <c r="D295" s="1443"/>
      <c r="E295" s="1443"/>
      <c r="F295" s="1443"/>
      <c r="G295" s="1443"/>
      <c r="H295" s="1443"/>
      <c r="K295" s="559"/>
      <c r="L295" s="559"/>
      <c r="M295" s="559"/>
      <c r="N295" s="559"/>
      <c r="O295" s="559"/>
    </row>
    <row r="296" spans="2:15" s="1341" customFormat="1" ht="21" customHeight="1">
      <c r="B296" s="559"/>
      <c r="D296" s="1443"/>
      <c r="E296" s="1443"/>
      <c r="F296" s="1443"/>
      <c r="G296" s="1443"/>
      <c r="H296" s="1443"/>
      <c r="K296" s="559"/>
      <c r="L296" s="559"/>
      <c r="M296" s="559"/>
      <c r="N296" s="559"/>
      <c r="O296" s="559"/>
    </row>
    <row r="297" spans="2:15" s="1341" customFormat="1" ht="21" customHeight="1">
      <c r="B297" s="559"/>
      <c r="D297" s="1443"/>
      <c r="E297" s="1443"/>
      <c r="F297" s="1443"/>
      <c r="G297" s="1443"/>
      <c r="H297" s="1443"/>
      <c r="K297" s="559"/>
      <c r="L297" s="559"/>
      <c r="M297" s="559"/>
      <c r="N297" s="559"/>
      <c r="O297" s="559"/>
    </row>
    <row r="298" spans="2:15" s="1341" customFormat="1" ht="21" customHeight="1">
      <c r="B298" s="559"/>
      <c r="D298" s="1443"/>
      <c r="E298" s="1443"/>
      <c r="F298" s="1443"/>
      <c r="G298" s="1443"/>
      <c r="H298" s="1443"/>
      <c r="K298" s="559"/>
      <c r="L298" s="559"/>
      <c r="M298" s="559"/>
      <c r="N298" s="559"/>
      <c r="O298" s="559"/>
    </row>
    <row r="299" spans="2:15" s="1341" customFormat="1" ht="21" customHeight="1">
      <c r="B299" s="559"/>
      <c r="D299" s="1443"/>
      <c r="E299" s="1443"/>
      <c r="F299" s="1443"/>
      <c r="G299" s="1443"/>
      <c r="H299" s="1443"/>
      <c r="K299" s="559"/>
      <c r="L299" s="559"/>
      <c r="M299" s="559"/>
      <c r="N299" s="559"/>
      <c r="O299" s="559"/>
    </row>
    <row r="300" spans="2:15" s="1341" customFormat="1" ht="21" customHeight="1">
      <c r="B300" s="559"/>
      <c r="D300" s="1443"/>
      <c r="E300" s="1443"/>
      <c r="F300" s="1443"/>
      <c r="G300" s="1443"/>
      <c r="H300" s="1443"/>
      <c r="K300" s="559"/>
      <c r="L300" s="559"/>
      <c r="M300" s="559"/>
      <c r="N300" s="559"/>
      <c r="O300" s="559"/>
    </row>
    <row r="301" spans="2:15" s="1341" customFormat="1" ht="21" customHeight="1">
      <c r="B301" s="559"/>
      <c r="D301" s="1443"/>
      <c r="E301" s="1443"/>
      <c r="F301" s="1443"/>
      <c r="G301" s="1443"/>
      <c r="H301" s="1443"/>
      <c r="K301" s="559"/>
      <c r="L301" s="559"/>
      <c r="M301" s="559"/>
      <c r="N301" s="559"/>
      <c r="O301" s="559"/>
    </row>
    <row r="302" spans="2:15" s="1341" customFormat="1" ht="21" customHeight="1">
      <c r="B302" s="559"/>
      <c r="D302" s="1443"/>
      <c r="E302" s="1443"/>
      <c r="F302" s="1443"/>
      <c r="G302" s="1443"/>
      <c r="H302" s="1443"/>
      <c r="K302" s="559"/>
      <c r="L302" s="559"/>
      <c r="M302" s="559"/>
      <c r="N302" s="559"/>
      <c r="O302" s="559"/>
    </row>
    <row r="303" spans="2:15" s="1341" customFormat="1" ht="21" customHeight="1">
      <c r="B303" s="559"/>
      <c r="D303" s="1443"/>
      <c r="E303" s="1443"/>
      <c r="F303" s="1443"/>
      <c r="G303" s="1443"/>
      <c r="H303" s="1443"/>
      <c r="K303" s="559"/>
      <c r="L303" s="559"/>
      <c r="M303" s="559"/>
      <c r="N303" s="559"/>
      <c r="O303" s="559"/>
    </row>
    <row r="304" spans="2:15" s="1341" customFormat="1" ht="21" customHeight="1">
      <c r="B304" s="559"/>
      <c r="D304" s="1443"/>
      <c r="E304" s="1443"/>
      <c r="F304" s="1443"/>
      <c r="G304" s="1443"/>
      <c r="H304" s="1443"/>
      <c r="K304" s="559"/>
      <c r="L304" s="559"/>
      <c r="M304" s="559"/>
      <c r="N304" s="559"/>
      <c r="O304" s="559"/>
    </row>
    <row r="305" spans="2:15" s="1341" customFormat="1" ht="21" customHeight="1">
      <c r="B305" s="559"/>
      <c r="D305" s="1443"/>
      <c r="E305" s="1443"/>
      <c r="F305" s="1443"/>
      <c r="G305" s="1443"/>
      <c r="H305" s="1443"/>
      <c r="K305" s="559"/>
      <c r="L305" s="559"/>
      <c r="M305" s="559"/>
      <c r="N305" s="559"/>
      <c r="O305" s="559"/>
    </row>
    <row r="306" spans="2:15" s="1341" customFormat="1" ht="21" customHeight="1">
      <c r="B306" s="559"/>
      <c r="D306" s="1443"/>
      <c r="E306" s="1443"/>
      <c r="F306" s="1443"/>
      <c r="G306" s="1443"/>
      <c r="H306" s="1443"/>
      <c r="K306" s="559"/>
      <c r="L306" s="559"/>
      <c r="M306" s="559"/>
      <c r="N306" s="559"/>
      <c r="O306" s="559"/>
    </row>
    <row r="307" spans="2:15" s="1341" customFormat="1" ht="21" customHeight="1">
      <c r="B307" s="559"/>
      <c r="D307" s="1443"/>
      <c r="E307" s="1443"/>
      <c r="F307" s="1443"/>
      <c r="G307" s="1443"/>
      <c r="H307" s="1443"/>
      <c r="K307" s="559"/>
      <c r="L307" s="559"/>
      <c r="M307" s="559"/>
      <c r="N307" s="559"/>
      <c r="O307" s="559"/>
    </row>
    <row r="308" spans="2:15" s="1341" customFormat="1" ht="21" customHeight="1">
      <c r="B308" s="559"/>
      <c r="D308" s="1443"/>
      <c r="E308" s="1443"/>
      <c r="F308" s="1443"/>
      <c r="G308" s="1443"/>
      <c r="H308" s="1443"/>
      <c r="K308" s="559"/>
      <c r="L308" s="559"/>
      <c r="M308" s="559"/>
      <c r="N308" s="559"/>
      <c r="O308" s="559"/>
    </row>
    <row r="309" spans="2:15" s="1341" customFormat="1" ht="21" customHeight="1">
      <c r="B309" s="559"/>
      <c r="D309" s="1443"/>
      <c r="E309" s="1443"/>
      <c r="F309" s="1443"/>
      <c r="G309" s="1443"/>
      <c r="H309" s="1443"/>
      <c r="K309" s="559"/>
      <c r="L309" s="559"/>
      <c r="M309" s="559"/>
      <c r="N309" s="559"/>
      <c r="O309" s="559"/>
    </row>
    <row r="310" spans="2:15" s="1341" customFormat="1" ht="21" customHeight="1">
      <c r="B310" s="559"/>
      <c r="D310" s="1443"/>
      <c r="E310" s="1443"/>
      <c r="F310" s="1443"/>
      <c r="G310" s="1443"/>
      <c r="H310" s="1443"/>
      <c r="K310" s="559"/>
      <c r="L310" s="559"/>
      <c r="M310" s="559"/>
      <c r="N310" s="559"/>
      <c r="O310" s="559"/>
    </row>
    <row r="311" spans="2:15" s="1341" customFormat="1" ht="21" customHeight="1">
      <c r="B311" s="559"/>
      <c r="D311" s="1443"/>
      <c r="E311" s="1443"/>
      <c r="F311" s="1443"/>
      <c r="G311" s="1443"/>
      <c r="H311" s="1443"/>
      <c r="K311" s="559"/>
      <c r="L311" s="559"/>
      <c r="M311" s="559"/>
      <c r="N311" s="559"/>
      <c r="O311" s="559"/>
    </row>
    <row r="312" spans="2:15" s="1341" customFormat="1" ht="21" customHeight="1">
      <c r="B312" s="559"/>
      <c r="D312" s="1443"/>
      <c r="E312" s="1443"/>
      <c r="F312" s="1443"/>
      <c r="G312" s="1443"/>
      <c r="H312" s="1443"/>
      <c r="K312" s="559"/>
      <c r="L312" s="559"/>
      <c r="M312" s="559"/>
      <c r="N312" s="559"/>
      <c r="O312" s="559"/>
    </row>
    <row r="313" spans="2:15" s="1341" customFormat="1" ht="21" customHeight="1">
      <c r="B313" s="559"/>
      <c r="D313" s="1443"/>
      <c r="E313" s="1443"/>
      <c r="F313" s="1443"/>
      <c r="G313" s="1443"/>
      <c r="H313" s="1443"/>
      <c r="K313" s="559"/>
      <c r="L313" s="559"/>
      <c r="M313" s="559"/>
      <c r="N313" s="559"/>
      <c r="O313" s="559"/>
    </row>
    <row r="314" spans="2:15" s="1341" customFormat="1" ht="21" customHeight="1">
      <c r="B314" s="559"/>
      <c r="D314" s="1443"/>
      <c r="E314" s="1443"/>
      <c r="F314" s="1443"/>
      <c r="G314" s="1443"/>
      <c r="H314" s="1443"/>
      <c r="K314" s="559"/>
      <c r="L314" s="559"/>
      <c r="M314" s="559"/>
      <c r="N314" s="559"/>
      <c r="O314" s="559"/>
    </row>
    <row r="315" spans="2:15" s="1341" customFormat="1" ht="21" customHeight="1">
      <c r="B315" s="559"/>
      <c r="D315" s="1443"/>
      <c r="E315" s="1443"/>
      <c r="F315" s="1443"/>
      <c r="G315" s="1443"/>
      <c r="H315" s="1443"/>
      <c r="K315" s="559"/>
      <c r="L315" s="559"/>
      <c r="M315" s="559"/>
      <c r="N315" s="559"/>
      <c r="O315" s="559"/>
    </row>
    <row r="316" spans="2:15" s="1341" customFormat="1" ht="21" customHeight="1">
      <c r="B316" s="559"/>
      <c r="D316" s="1443"/>
      <c r="E316" s="1443"/>
      <c r="F316" s="1443"/>
      <c r="G316" s="1443"/>
      <c r="H316" s="1443"/>
      <c r="K316" s="559"/>
      <c r="L316" s="559"/>
      <c r="M316" s="559"/>
      <c r="N316" s="559"/>
      <c r="O316" s="559"/>
    </row>
    <row r="317" spans="2:15" s="1341" customFormat="1" ht="21" customHeight="1">
      <c r="B317" s="559"/>
      <c r="D317" s="1443"/>
      <c r="E317" s="1443"/>
      <c r="F317" s="1443"/>
      <c r="G317" s="1443"/>
      <c r="H317" s="1443"/>
      <c r="K317" s="559"/>
      <c r="L317" s="559"/>
      <c r="M317" s="559"/>
      <c r="N317" s="559"/>
      <c r="O317" s="559"/>
    </row>
    <row r="318" spans="2:15" s="1341" customFormat="1" ht="21" customHeight="1">
      <c r="B318" s="559"/>
      <c r="D318" s="1443"/>
      <c r="E318" s="1443"/>
      <c r="F318" s="1443"/>
      <c r="G318" s="1443"/>
      <c r="H318" s="1443"/>
      <c r="K318" s="559"/>
      <c r="L318" s="559"/>
      <c r="M318" s="559"/>
      <c r="N318" s="559"/>
      <c r="O318" s="559"/>
    </row>
    <row r="319" spans="2:15" s="1341" customFormat="1" ht="21" customHeight="1">
      <c r="B319" s="559"/>
      <c r="D319" s="1443"/>
      <c r="E319" s="1443"/>
      <c r="F319" s="1443"/>
      <c r="G319" s="1443"/>
      <c r="H319" s="1443"/>
      <c r="K319" s="559"/>
      <c r="L319" s="559"/>
      <c r="M319" s="559"/>
      <c r="N319" s="559"/>
      <c r="O319" s="559"/>
    </row>
    <row r="320" spans="2:15" s="1341" customFormat="1" ht="21" customHeight="1">
      <c r="B320" s="559"/>
      <c r="D320" s="1443"/>
      <c r="E320" s="1443"/>
      <c r="F320" s="1443"/>
      <c r="G320" s="1443"/>
      <c r="H320" s="1443"/>
      <c r="K320" s="559"/>
      <c r="L320" s="559"/>
      <c r="M320" s="559"/>
      <c r="N320" s="559"/>
      <c r="O320" s="559"/>
    </row>
    <row r="321" spans="2:15" s="1341" customFormat="1" ht="21" customHeight="1">
      <c r="B321" s="559"/>
      <c r="D321" s="1443"/>
      <c r="E321" s="1443"/>
      <c r="F321" s="1443"/>
      <c r="G321" s="1443"/>
      <c r="H321" s="1443"/>
      <c r="K321" s="559"/>
      <c r="L321" s="559"/>
      <c r="M321" s="559"/>
      <c r="N321" s="559"/>
      <c r="O321" s="559"/>
    </row>
    <row r="322" spans="2:15" s="1341" customFormat="1" ht="21" customHeight="1">
      <c r="B322" s="559"/>
      <c r="D322" s="1443"/>
      <c r="E322" s="1443"/>
      <c r="F322" s="1443"/>
      <c r="G322" s="1443"/>
      <c r="H322" s="1443"/>
      <c r="K322" s="559"/>
      <c r="L322" s="559"/>
      <c r="M322" s="559"/>
      <c r="N322" s="559"/>
      <c r="O322" s="559"/>
    </row>
    <row r="323" spans="2:15" s="1341" customFormat="1" ht="21" customHeight="1">
      <c r="B323" s="559"/>
      <c r="D323" s="1443"/>
      <c r="E323" s="1443"/>
      <c r="F323" s="1443"/>
      <c r="G323" s="1443"/>
      <c r="H323" s="1443"/>
      <c r="K323" s="559"/>
      <c r="L323" s="559"/>
      <c r="M323" s="559"/>
      <c r="N323" s="559"/>
      <c r="O323" s="559"/>
    </row>
    <row r="324" spans="2:15" s="1341" customFormat="1" ht="21" customHeight="1">
      <c r="B324" s="559"/>
      <c r="D324" s="1443"/>
      <c r="E324" s="1443"/>
      <c r="F324" s="1443"/>
      <c r="G324" s="1443"/>
      <c r="H324" s="1443"/>
      <c r="K324" s="559"/>
      <c r="L324" s="559"/>
      <c r="M324" s="559"/>
      <c r="N324" s="559"/>
      <c r="O324" s="559"/>
    </row>
    <row r="325" spans="2:15" s="1341" customFormat="1" ht="21" customHeight="1">
      <c r="B325" s="559"/>
      <c r="D325" s="1443"/>
      <c r="E325" s="1443"/>
      <c r="F325" s="1443"/>
      <c r="G325" s="1443"/>
      <c r="H325" s="1443"/>
      <c r="K325" s="559"/>
      <c r="L325" s="559"/>
      <c r="M325" s="559"/>
      <c r="N325" s="559"/>
      <c r="O325" s="559"/>
    </row>
    <row r="326" spans="2:15" s="1341" customFormat="1" ht="21" customHeight="1">
      <c r="B326" s="559"/>
      <c r="D326" s="1443"/>
      <c r="E326" s="1443"/>
      <c r="F326" s="1443"/>
      <c r="G326" s="1443"/>
      <c r="H326" s="1443"/>
      <c r="K326" s="559"/>
      <c r="L326" s="559"/>
      <c r="M326" s="559"/>
      <c r="N326" s="559"/>
      <c r="O326" s="559"/>
    </row>
  </sheetData>
  <sheetProtection/>
  <mergeCells count="40">
    <mergeCell ref="J237:J239"/>
    <mergeCell ref="J241:J242"/>
    <mergeCell ref="A146:J146"/>
    <mergeCell ref="A147:J147"/>
    <mergeCell ref="A148:J148"/>
    <mergeCell ref="A150:A151"/>
    <mergeCell ref="B150:B151"/>
    <mergeCell ref="C150:C151"/>
    <mergeCell ref="D150:D151"/>
    <mergeCell ref="E150:G150"/>
    <mergeCell ref="H150:H151"/>
    <mergeCell ref="I150:I151"/>
    <mergeCell ref="J103:J105"/>
    <mergeCell ref="J107:J108"/>
    <mergeCell ref="A142:J142"/>
    <mergeCell ref="A143:J143"/>
    <mergeCell ref="A144:J144"/>
    <mergeCell ref="A145:J145"/>
    <mergeCell ref="J150:J151"/>
    <mergeCell ref="A14:J14"/>
    <mergeCell ref="A16:A17"/>
    <mergeCell ref="B16:B17"/>
    <mergeCell ref="C16:C17"/>
    <mergeCell ref="D16:D17"/>
    <mergeCell ref="E16:G16"/>
    <mergeCell ref="H16:H17"/>
    <mergeCell ref="I16:I17"/>
    <mergeCell ref="J16:J17"/>
    <mergeCell ref="A8:J8"/>
    <mergeCell ref="A9:J9"/>
    <mergeCell ref="A10:J10"/>
    <mergeCell ref="A11:J11"/>
    <mergeCell ref="A12:J12"/>
    <mergeCell ref="A13:J13"/>
    <mergeCell ref="B2:C2"/>
    <mergeCell ref="A3:C3"/>
    <mergeCell ref="A4:J4"/>
    <mergeCell ref="A5:J5"/>
    <mergeCell ref="A6:J6"/>
    <mergeCell ref="A7:J7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42"/>
  <sheetViews>
    <sheetView zoomScalePageLayoutView="0" workbookViewId="0" topLeftCell="A14">
      <selection activeCell="D30" sqref="D30"/>
    </sheetView>
  </sheetViews>
  <sheetFormatPr defaultColWidth="9.140625" defaultRowHeight="12.75"/>
  <cols>
    <col min="1" max="1" width="38.00390625" style="620" customWidth="1"/>
    <col min="2" max="2" width="13.421875" style="620" customWidth="1"/>
    <col min="3" max="3" width="17.28125" style="572" customWidth="1"/>
    <col min="4" max="4" width="18.28125" style="620" customWidth="1"/>
    <col min="5" max="5" width="17.28125" style="621" customWidth="1"/>
    <col min="6" max="6" width="16.140625" style="799" customWidth="1"/>
    <col min="7" max="7" width="15.00390625" style="620" customWidth="1"/>
    <col min="8" max="8" width="17.8515625" style="620" customWidth="1"/>
    <col min="9" max="9" width="12.57421875" style="620" customWidth="1"/>
    <col min="10" max="10" width="11.421875" style="620" customWidth="1"/>
    <col min="11" max="11" width="16.8515625" style="620" customWidth="1"/>
    <col min="12" max="12" width="10.28125" style="620" bestFit="1" customWidth="1"/>
    <col min="13" max="14" width="10.00390625" style="620" bestFit="1" customWidth="1"/>
    <col min="15" max="16384" width="9.140625" style="620" customWidth="1"/>
  </cols>
  <sheetData>
    <row r="1" spans="1:10" s="331" customFormat="1" ht="24.75" customHeight="1">
      <c r="A1" s="346"/>
      <c r="B1" s="347"/>
      <c r="C1" s="739"/>
      <c r="D1" s="351"/>
      <c r="H1" s="837" t="s">
        <v>703</v>
      </c>
      <c r="I1" s="1775" t="s">
        <v>886</v>
      </c>
      <c r="J1" s="1775"/>
    </row>
    <row r="2" spans="1:10" s="331" customFormat="1" ht="24.75" customHeight="1">
      <c r="A2" s="346"/>
      <c r="B2" s="1769" t="s">
        <v>476</v>
      </c>
      <c r="C2" s="1769"/>
      <c r="D2" s="1769"/>
      <c r="E2" s="1769"/>
      <c r="F2" s="1769"/>
      <c r="G2" s="1769"/>
      <c r="H2" s="1769"/>
      <c r="I2" s="1769"/>
      <c r="J2" s="1769"/>
    </row>
    <row r="3" spans="1:8" s="619" customFormat="1" ht="18.75">
      <c r="A3" s="1778" t="s">
        <v>709</v>
      </c>
      <c r="B3" s="1778"/>
      <c r="C3" s="1778"/>
      <c r="D3" s="1778"/>
      <c r="E3" s="1778"/>
      <c r="F3" s="1778"/>
      <c r="G3" s="1778"/>
      <c r="H3" s="1778"/>
    </row>
    <row r="4" spans="1:8" s="619" customFormat="1" ht="18.75">
      <c r="A4" s="798"/>
      <c r="B4" s="798"/>
      <c r="C4" s="893"/>
      <c r="D4" s="798"/>
      <c r="E4" s="798"/>
      <c r="F4" s="798"/>
      <c r="G4" s="798"/>
      <c r="H4" s="798"/>
    </row>
    <row r="5" spans="1:10" s="835" customFormat="1" ht="15.75">
      <c r="A5" s="1779" t="s">
        <v>211</v>
      </c>
      <c r="B5" s="1779" t="s">
        <v>883</v>
      </c>
      <c r="C5" s="1781" t="s">
        <v>889</v>
      </c>
      <c r="D5" s="1776" t="s">
        <v>887</v>
      </c>
      <c r="E5" s="1777"/>
      <c r="F5" s="1777"/>
      <c r="G5" s="1777"/>
      <c r="H5" s="1777"/>
      <c r="I5" s="1773" t="s">
        <v>888</v>
      </c>
      <c r="J5" s="1774"/>
    </row>
    <row r="6" spans="1:10" s="835" customFormat="1" ht="25.5" customHeight="1">
      <c r="A6" s="1780"/>
      <c r="B6" s="1780"/>
      <c r="C6" s="1782"/>
      <c r="D6" s="836" t="s">
        <v>890</v>
      </c>
      <c r="E6" s="836" t="s">
        <v>891</v>
      </c>
      <c r="F6" s="836" t="s">
        <v>892</v>
      </c>
      <c r="G6" s="836" t="s">
        <v>893</v>
      </c>
      <c r="H6" s="836" t="s">
        <v>894</v>
      </c>
      <c r="I6" s="836" t="s">
        <v>884</v>
      </c>
      <c r="J6" s="836" t="s">
        <v>885</v>
      </c>
    </row>
    <row r="7" spans="1:13" ht="19.5">
      <c r="A7" s="800" t="s">
        <v>534</v>
      </c>
      <c r="B7" s="801" t="s">
        <v>413</v>
      </c>
      <c r="C7" s="933">
        <f>'[5]BM2 b'!$I$9</f>
        <v>51531</v>
      </c>
      <c r="D7" s="802">
        <f>+D13+D45+D56+D75+D90</f>
        <v>50037.18</v>
      </c>
      <c r="E7" s="802">
        <f>+E13+E45+E56+E75+E90</f>
        <v>48976.18</v>
      </c>
      <c r="F7" s="802">
        <f>+F13+F45+F56+F75+F90</f>
        <v>47749.18</v>
      </c>
      <c r="G7" s="802">
        <f>+G13+G45+G56+G75+G90</f>
        <v>47189.18</v>
      </c>
      <c r="H7" s="802">
        <f>+H13+H45+H56+H75+H90</f>
        <v>46612.18</v>
      </c>
      <c r="I7" s="856"/>
      <c r="J7" s="919">
        <v>4385</v>
      </c>
      <c r="K7" s="623"/>
      <c r="L7" s="558"/>
      <c r="M7" s="558"/>
    </row>
    <row r="8" spans="1:13" ht="19.5">
      <c r="A8" s="803" t="s">
        <v>535</v>
      </c>
      <c r="B8" s="801" t="s">
        <v>394</v>
      </c>
      <c r="C8" s="922">
        <v>1.68</v>
      </c>
      <c r="D8" s="805">
        <v>1.68</v>
      </c>
      <c r="E8" s="805">
        <v>1.7</v>
      </c>
      <c r="F8" s="805">
        <v>1.7</v>
      </c>
      <c r="G8" s="805">
        <v>1.73</v>
      </c>
      <c r="H8" s="805">
        <v>1.8</v>
      </c>
      <c r="I8" s="856"/>
      <c r="J8" s="919"/>
      <c r="K8" s="623"/>
      <c r="L8" s="558"/>
      <c r="M8" s="558"/>
    </row>
    <row r="9" spans="1:13" ht="19.5">
      <c r="A9" s="803" t="s">
        <v>536</v>
      </c>
      <c r="B9" s="801"/>
      <c r="C9" s="895"/>
      <c r="D9" s="806"/>
      <c r="E9" s="806"/>
      <c r="F9" s="806"/>
      <c r="G9" s="806"/>
      <c r="H9" s="806"/>
      <c r="I9" s="856"/>
      <c r="J9" s="919"/>
      <c r="K9" s="623"/>
      <c r="L9" s="558"/>
      <c r="M9" s="558"/>
    </row>
    <row r="10" spans="1:13" ht="19.5">
      <c r="A10" s="800" t="s">
        <v>537</v>
      </c>
      <c r="B10" s="801" t="s">
        <v>538</v>
      </c>
      <c r="C10" s="894">
        <f aca="true" t="shared" si="0" ref="C10:H10">+C11+C12</f>
        <v>129428.5</v>
      </c>
      <c r="D10" s="802">
        <f t="shared" si="0"/>
        <v>126163.20000000001</v>
      </c>
      <c r="E10" s="802">
        <f t="shared" si="0"/>
        <v>121020.99999999999</v>
      </c>
      <c r="F10" s="802">
        <f t="shared" si="0"/>
        <v>114506.2</v>
      </c>
      <c r="G10" s="802">
        <f t="shared" si="0"/>
        <v>114409.1</v>
      </c>
      <c r="H10" s="802">
        <f t="shared" si="0"/>
        <v>113130.1</v>
      </c>
      <c r="I10" s="856"/>
      <c r="J10" s="919">
        <v>13247</v>
      </c>
      <c r="K10" s="558"/>
      <c r="L10" s="558"/>
      <c r="M10" s="558"/>
    </row>
    <row r="11" spans="1:13" ht="19.5">
      <c r="A11" s="806" t="s">
        <v>539</v>
      </c>
      <c r="B11" s="804" t="s">
        <v>538</v>
      </c>
      <c r="C11" s="894">
        <f>'[5]BM2 b'!I12</f>
        <v>31001.5</v>
      </c>
      <c r="D11" s="802">
        <f>+D18+D22+D26+D30</f>
        <v>34132.9</v>
      </c>
      <c r="E11" s="802">
        <f>+E18+E22+E26+E30</f>
        <v>35870.7</v>
      </c>
      <c r="F11" s="802">
        <f>+F18+F22+F26+F30</f>
        <v>37159.7</v>
      </c>
      <c r="G11" s="802">
        <f>+G18+G22+G26+G30</f>
        <v>38191.600000000006</v>
      </c>
      <c r="H11" s="802">
        <f>+H18+H22+H26+H30</f>
        <v>38183.600000000006</v>
      </c>
      <c r="I11" s="856">
        <f aca="true" t="shared" si="1" ref="I11:I70">H11-C11</f>
        <v>7182.100000000006</v>
      </c>
      <c r="J11" s="919"/>
      <c r="K11" s="558"/>
      <c r="L11" s="558"/>
      <c r="M11" s="558"/>
    </row>
    <row r="12" spans="1:13" ht="19.5">
      <c r="A12" s="806" t="s">
        <v>540</v>
      </c>
      <c r="B12" s="804" t="s">
        <v>538</v>
      </c>
      <c r="C12" s="894">
        <f>'[5]BM2 b'!I13</f>
        <v>98427</v>
      </c>
      <c r="D12" s="802">
        <f>+D35+D39+D43</f>
        <v>92030.3</v>
      </c>
      <c r="E12" s="802">
        <f>+E35+E39+E43</f>
        <v>85150.29999999999</v>
      </c>
      <c r="F12" s="802">
        <f>+F35+F39+F43</f>
        <v>77346.5</v>
      </c>
      <c r="G12" s="802">
        <f>+G35+G39+G43</f>
        <v>76217.5</v>
      </c>
      <c r="H12" s="802">
        <f>+H35+H39+H43</f>
        <v>74946.5</v>
      </c>
      <c r="I12" s="856"/>
      <c r="J12" s="919">
        <v>19883</v>
      </c>
      <c r="K12" s="558"/>
      <c r="L12" s="558"/>
      <c r="M12" s="558"/>
    </row>
    <row r="13" spans="1:13" ht="19.5">
      <c r="A13" s="802" t="s">
        <v>541</v>
      </c>
      <c r="B13" s="801" t="s">
        <v>413</v>
      </c>
      <c r="C13" s="894">
        <f>'[5]BM2 b'!I15</f>
        <v>18459</v>
      </c>
      <c r="D13" s="802">
        <f>+D14+D31</f>
        <v>17793</v>
      </c>
      <c r="E13" s="802">
        <f>+E14+E31</f>
        <v>17040</v>
      </c>
      <c r="F13" s="802">
        <f>+F14+F31</f>
        <v>16037</v>
      </c>
      <c r="G13" s="802">
        <f>+G14+G31</f>
        <v>15928</v>
      </c>
      <c r="H13" s="802">
        <f>+H14+H31</f>
        <v>15723</v>
      </c>
      <c r="I13" s="856"/>
      <c r="J13" s="567">
        <v>2894</v>
      </c>
      <c r="K13" s="558"/>
      <c r="L13" s="558"/>
      <c r="M13" s="558"/>
    </row>
    <row r="14" spans="1:13" ht="19.5">
      <c r="A14" s="810" t="s">
        <v>542</v>
      </c>
      <c r="B14" s="801"/>
      <c r="C14" s="894">
        <f>'[5]BM2 b'!I16</f>
        <v>4620</v>
      </c>
      <c r="D14" s="802">
        <f>+D16+D20+D24+D28</f>
        <v>4990</v>
      </c>
      <c r="E14" s="802">
        <f>+E16+E20+E24+E28</f>
        <v>5227</v>
      </c>
      <c r="F14" s="802">
        <f>+F16+F20+F24+F28</f>
        <v>5392</v>
      </c>
      <c r="G14" s="802">
        <f>+G16+G20+G24+G28</f>
        <v>5463</v>
      </c>
      <c r="H14" s="802">
        <f>+H16+H20+H24+H28</f>
        <v>5458</v>
      </c>
      <c r="I14" s="856">
        <f t="shared" si="1"/>
        <v>838</v>
      </c>
      <c r="J14" s="919"/>
      <c r="K14" s="558"/>
      <c r="L14" s="558"/>
      <c r="M14" s="558"/>
    </row>
    <row r="15" spans="1:13" ht="19.5">
      <c r="A15" s="811" t="s">
        <v>543</v>
      </c>
      <c r="B15" s="807"/>
      <c r="C15" s="896"/>
      <c r="D15" s="802"/>
      <c r="E15" s="808"/>
      <c r="F15" s="809"/>
      <c r="G15" s="809"/>
      <c r="H15" s="809"/>
      <c r="I15" s="856">
        <f t="shared" si="1"/>
        <v>0</v>
      </c>
      <c r="J15" s="919"/>
      <c r="K15" s="623"/>
      <c r="L15" s="558"/>
      <c r="M15" s="558"/>
    </row>
    <row r="16" spans="1:13" ht="18.75">
      <c r="A16" s="812" t="s">
        <v>544</v>
      </c>
      <c r="B16" s="813" t="s">
        <v>413</v>
      </c>
      <c r="C16" s="897">
        <f>'[5]BM2 b'!I18</f>
        <v>1897</v>
      </c>
      <c r="D16" s="807">
        <v>2078</v>
      </c>
      <c r="E16" s="814">
        <v>2295</v>
      </c>
      <c r="F16" s="815">
        <v>2355</v>
      </c>
      <c r="G16" s="815">
        <f>F16</f>
        <v>2355</v>
      </c>
      <c r="H16" s="815">
        <f>G16</f>
        <v>2355</v>
      </c>
      <c r="I16" s="856">
        <f t="shared" si="1"/>
        <v>458</v>
      </c>
      <c r="J16" s="920"/>
      <c r="K16" s="558"/>
      <c r="L16" s="558"/>
      <c r="M16" s="558"/>
    </row>
    <row r="17" spans="1:13" ht="18.75">
      <c r="A17" s="816" t="s">
        <v>545</v>
      </c>
      <c r="B17" s="817" t="s">
        <v>546</v>
      </c>
      <c r="C17" s="897">
        <f>'[5]BM2 b'!I19</f>
        <v>7.158</v>
      </c>
      <c r="D17" s="818">
        <v>7.4</v>
      </c>
      <c r="E17" s="818">
        <f>D17</f>
        <v>7.4</v>
      </c>
      <c r="F17" s="818">
        <f>E17</f>
        <v>7.4</v>
      </c>
      <c r="G17" s="818">
        <v>7.5</v>
      </c>
      <c r="H17" s="818">
        <v>7.5</v>
      </c>
      <c r="I17" s="856"/>
      <c r="J17" s="567"/>
      <c r="K17" s="558"/>
      <c r="L17" s="558"/>
      <c r="M17" s="558"/>
    </row>
    <row r="18" spans="1:13" ht="18.75">
      <c r="A18" s="816" t="s">
        <v>547</v>
      </c>
      <c r="B18" s="817" t="s">
        <v>538</v>
      </c>
      <c r="C18" s="898">
        <f>'[5]BM2 b'!I20</f>
        <v>13658</v>
      </c>
      <c r="D18" s="807">
        <f>D16*D17</f>
        <v>15377.2</v>
      </c>
      <c r="E18" s="807">
        <f>E16*E17</f>
        <v>16983</v>
      </c>
      <c r="F18" s="807">
        <f>F16*F17</f>
        <v>17427</v>
      </c>
      <c r="G18" s="807">
        <f>G16*G17</f>
        <v>17662.5</v>
      </c>
      <c r="H18" s="807">
        <f>H16*H17</f>
        <v>17662.5</v>
      </c>
      <c r="I18" s="856">
        <f t="shared" si="1"/>
        <v>4004.5</v>
      </c>
      <c r="J18" s="567"/>
      <c r="K18" s="558">
        <f>F17*F16</f>
        <v>17427</v>
      </c>
      <c r="L18" s="558">
        <f>G17*G16</f>
        <v>17662.5</v>
      </c>
      <c r="M18" s="558">
        <f>H17*H16</f>
        <v>17662.5</v>
      </c>
    </row>
    <row r="19" spans="1:13" ht="18.75">
      <c r="A19" s="811" t="s">
        <v>548</v>
      </c>
      <c r="B19" s="813"/>
      <c r="C19" s="898" t="e">
        <f>'[5]BM2 b'!I21</f>
        <v>#REF!</v>
      </c>
      <c r="D19" s="818"/>
      <c r="E19" s="814"/>
      <c r="F19" s="815"/>
      <c r="G19" s="815"/>
      <c r="H19" s="815"/>
      <c r="I19" s="856" t="e">
        <f t="shared" si="1"/>
        <v>#REF!</v>
      </c>
      <c r="J19" s="567"/>
      <c r="K19" s="558"/>
      <c r="L19" s="558"/>
      <c r="M19" s="558"/>
    </row>
    <row r="20" spans="1:13" ht="18.75">
      <c r="A20" s="812" t="s">
        <v>544</v>
      </c>
      <c r="B20" s="813"/>
      <c r="C20" s="898">
        <f>'[5]BM2 b'!I22</f>
        <v>2442</v>
      </c>
      <c r="D20" s="807">
        <v>2552</v>
      </c>
      <c r="E20" s="814">
        <v>2572</v>
      </c>
      <c r="F20" s="815">
        <v>2677</v>
      </c>
      <c r="G20" s="815">
        <v>2758</v>
      </c>
      <c r="H20" s="815">
        <f>G20</f>
        <v>2758</v>
      </c>
      <c r="I20" s="856">
        <f t="shared" si="1"/>
        <v>316</v>
      </c>
      <c r="J20" s="567"/>
      <c r="K20" s="558"/>
      <c r="L20" s="558"/>
      <c r="M20" s="558"/>
    </row>
    <row r="21" spans="1:13" ht="18.75">
      <c r="A21" s="816" t="s">
        <v>545</v>
      </c>
      <c r="B21" s="817" t="s">
        <v>546</v>
      </c>
      <c r="C21" s="898">
        <f>'[5]BM2 b'!I23</f>
        <v>6.552866502866503</v>
      </c>
      <c r="D21" s="818">
        <v>6.6</v>
      </c>
      <c r="E21" s="818">
        <f>D21</f>
        <v>6.6</v>
      </c>
      <c r="F21" s="818">
        <v>6.6</v>
      </c>
      <c r="G21" s="818">
        <v>6.7</v>
      </c>
      <c r="H21" s="818">
        <f>G21</f>
        <v>6.7</v>
      </c>
      <c r="I21" s="856"/>
      <c r="J21" s="567"/>
      <c r="K21" s="623">
        <f>F16*6.9</f>
        <v>16249.5</v>
      </c>
      <c r="L21" s="558"/>
      <c r="M21" s="558"/>
    </row>
    <row r="22" spans="1:13" ht="18.75">
      <c r="A22" s="816" t="s">
        <v>547</v>
      </c>
      <c r="B22" s="817" t="s">
        <v>538</v>
      </c>
      <c r="C22" s="898">
        <f>'[5]BM2 b'!I24</f>
        <v>16002</v>
      </c>
      <c r="D22" s="807">
        <f>D21*D20</f>
        <v>16843.2</v>
      </c>
      <c r="E22" s="807">
        <f>E21*E20</f>
        <v>16975.2</v>
      </c>
      <c r="F22" s="807">
        <f>F21*F20</f>
        <v>17668.2</v>
      </c>
      <c r="G22" s="807">
        <f>G21*G20</f>
        <v>18478.600000000002</v>
      </c>
      <c r="H22" s="807">
        <f>H21*H20</f>
        <v>18478.600000000002</v>
      </c>
      <c r="I22" s="856">
        <f t="shared" si="1"/>
        <v>2476.600000000002</v>
      </c>
      <c r="J22" s="567"/>
      <c r="K22" s="558"/>
      <c r="L22" s="558"/>
      <c r="M22" s="558"/>
    </row>
    <row r="23" spans="1:13" ht="18.75">
      <c r="A23" s="819" t="s">
        <v>549</v>
      </c>
      <c r="B23" s="817"/>
      <c r="C23" s="898" t="e">
        <f>'[5]BM2 b'!I25</f>
        <v>#REF!</v>
      </c>
      <c r="D23" s="818"/>
      <c r="E23" s="814"/>
      <c r="F23" s="815"/>
      <c r="G23" s="815"/>
      <c r="H23" s="815"/>
      <c r="I23" s="856" t="e">
        <f t="shared" si="1"/>
        <v>#REF!</v>
      </c>
      <c r="J23" s="567"/>
      <c r="K23" s="558" t="s">
        <v>550</v>
      </c>
      <c r="L23" s="558"/>
      <c r="M23" s="558"/>
    </row>
    <row r="24" spans="1:13" ht="18.75">
      <c r="A24" s="820" t="s">
        <v>551</v>
      </c>
      <c r="B24" s="817" t="s">
        <v>413</v>
      </c>
      <c r="C24" s="898">
        <f>'[5]BM2 b'!I26</f>
        <v>200</v>
      </c>
      <c r="D24" s="818">
        <v>305</v>
      </c>
      <c r="E24" s="814">
        <v>305</v>
      </c>
      <c r="F24" s="815">
        <v>305</v>
      </c>
      <c r="G24" s="815">
        <v>305</v>
      </c>
      <c r="H24" s="815">
        <v>305</v>
      </c>
      <c r="I24" s="856">
        <f t="shared" si="1"/>
        <v>105</v>
      </c>
      <c r="J24" s="567"/>
      <c r="K24" s="558" t="s">
        <v>552</v>
      </c>
      <c r="L24" s="558"/>
      <c r="M24" s="558"/>
    </row>
    <row r="25" spans="1:13" ht="18.75">
      <c r="A25" s="820" t="s">
        <v>553</v>
      </c>
      <c r="B25" s="821" t="s">
        <v>554</v>
      </c>
      <c r="C25" s="898">
        <f>'[5]BM2 b'!I27</f>
        <v>6.127</v>
      </c>
      <c r="D25" s="818">
        <f>+D26/D24</f>
        <v>6</v>
      </c>
      <c r="E25" s="818">
        <f>+E26/E24</f>
        <v>6</v>
      </c>
      <c r="F25" s="818">
        <f>+F26/F24</f>
        <v>6.498360655737705</v>
      </c>
      <c r="G25" s="818">
        <f>+G26/G24</f>
        <v>6.501639344262295</v>
      </c>
      <c r="H25" s="818">
        <f>+H26/H24</f>
        <v>6.5</v>
      </c>
      <c r="I25" s="856">
        <f t="shared" si="1"/>
        <v>0.3730000000000002</v>
      </c>
      <c r="J25" s="567"/>
      <c r="K25" s="624" t="s">
        <v>555</v>
      </c>
      <c r="L25" s="558"/>
      <c r="M25" s="558"/>
    </row>
    <row r="26" spans="1:13" ht="18.75">
      <c r="A26" s="820" t="s">
        <v>556</v>
      </c>
      <c r="B26" s="817" t="s">
        <v>557</v>
      </c>
      <c r="C26" s="898">
        <f>'[5]BM2 b'!I28</f>
        <v>1220</v>
      </c>
      <c r="D26" s="807">
        <v>1830</v>
      </c>
      <c r="E26" s="807">
        <v>1830</v>
      </c>
      <c r="F26" s="807">
        <v>1982</v>
      </c>
      <c r="G26" s="807">
        <v>1983</v>
      </c>
      <c r="H26" s="807">
        <v>1982.5</v>
      </c>
      <c r="I26" s="856">
        <f t="shared" si="1"/>
        <v>762.5</v>
      </c>
      <c r="J26" s="567"/>
      <c r="K26" s="558" t="s">
        <v>558</v>
      </c>
      <c r="L26" s="558"/>
      <c r="M26" s="558"/>
    </row>
    <row r="27" spans="1:13" ht="18.75">
      <c r="A27" s="822" t="s">
        <v>559</v>
      </c>
      <c r="B27" s="807"/>
      <c r="C27" s="898" t="e">
        <f>'[5]BM2 b'!I29</f>
        <v>#REF!</v>
      </c>
      <c r="D27" s="818"/>
      <c r="E27" s="814"/>
      <c r="F27" s="815"/>
      <c r="G27" s="815"/>
      <c r="H27" s="815" t="s">
        <v>880</v>
      </c>
      <c r="I27" s="856"/>
      <c r="J27" s="567"/>
      <c r="K27" s="558" t="s">
        <v>560</v>
      </c>
      <c r="L27" s="558"/>
      <c r="M27" s="558"/>
    </row>
    <row r="28" spans="1:13" ht="18.75">
      <c r="A28" s="812" t="s">
        <v>544</v>
      </c>
      <c r="B28" s="813" t="s">
        <v>413</v>
      </c>
      <c r="C28" s="898">
        <f>'[5]BM2 b'!I30</f>
        <v>81</v>
      </c>
      <c r="D28" s="807">
        <v>55</v>
      </c>
      <c r="E28" s="807">
        <v>55</v>
      </c>
      <c r="F28" s="815">
        <v>55</v>
      </c>
      <c r="G28" s="815">
        <v>45</v>
      </c>
      <c r="H28" s="815">
        <v>40</v>
      </c>
      <c r="I28" s="856"/>
      <c r="J28" s="567">
        <v>41</v>
      </c>
      <c r="K28" s="558"/>
      <c r="L28" s="558"/>
      <c r="M28" s="558"/>
    </row>
    <row r="29" spans="1:13" ht="18.75">
      <c r="A29" s="816" t="s">
        <v>545</v>
      </c>
      <c r="B29" s="817" t="s">
        <v>546</v>
      </c>
      <c r="C29" s="898">
        <f>'[5]BM2 b'!I31</f>
        <v>1.5</v>
      </c>
      <c r="D29" s="818">
        <f>+D30/D28</f>
        <v>1.5</v>
      </c>
      <c r="E29" s="818">
        <f>+E30/E28</f>
        <v>1.5</v>
      </c>
      <c r="F29" s="818">
        <f>+F30/F28</f>
        <v>1.5</v>
      </c>
      <c r="G29" s="818">
        <f>+G30/G28</f>
        <v>1.5</v>
      </c>
      <c r="H29" s="818">
        <f>+H30/H28</f>
        <v>1.5</v>
      </c>
      <c r="I29" s="856">
        <f t="shared" si="1"/>
        <v>0</v>
      </c>
      <c r="J29" s="567"/>
      <c r="K29" s="558"/>
      <c r="L29" s="558"/>
      <c r="M29" s="558"/>
    </row>
    <row r="30" spans="1:13" ht="18.75">
      <c r="A30" s="816" t="s">
        <v>547</v>
      </c>
      <c r="B30" s="817" t="s">
        <v>538</v>
      </c>
      <c r="C30" s="898">
        <f>'[5]BM2 b'!I32</f>
        <v>121.5</v>
      </c>
      <c r="D30" s="807">
        <v>82.5</v>
      </c>
      <c r="E30" s="807">
        <v>82.5</v>
      </c>
      <c r="F30" s="807">
        <v>82.5</v>
      </c>
      <c r="G30" s="807">
        <v>67.5</v>
      </c>
      <c r="H30" s="807">
        <v>60</v>
      </c>
      <c r="I30" s="856"/>
      <c r="J30" s="919">
        <v>62</v>
      </c>
      <c r="K30" s="558"/>
      <c r="L30" s="558"/>
      <c r="M30" s="558"/>
    </row>
    <row r="31" spans="1:13" ht="19.5">
      <c r="A31" s="823" t="s">
        <v>561</v>
      </c>
      <c r="B31" s="824"/>
      <c r="C31" s="933">
        <f aca="true" t="shared" si="2" ref="C31:H31">+C33+C37+C41</f>
        <v>13839</v>
      </c>
      <c r="D31" s="802">
        <f t="shared" si="2"/>
        <v>12803</v>
      </c>
      <c r="E31" s="802">
        <f t="shared" si="2"/>
        <v>11813</v>
      </c>
      <c r="F31" s="802">
        <f t="shared" si="2"/>
        <v>10645</v>
      </c>
      <c r="G31" s="802">
        <f t="shared" si="2"/>
        <v>10465</v>
      </c>
      <c r="H31" s="802">
        <f t="shared" si="2"/>
        <v>10265</v>
      </c>
      <c r="I31" s="856"/>
      <c r="J31" s="567">
        <v>3786</v>
      </c>
      <c r="K31" s="558"/>
      <c r="L31" s="558"/>
      <c r="M31" s="558"/>
    </row>
    <row r="32" spans="1:13" ht="19.5">
      <c r="A32" s="822" t="s">
        <v>562</v>
      </c>
      <c r="B32" s="807"/>
      <c r="C32" s="899">
        <v>0</v>
      </c>
      <c r="D32" s="802"/>
      <c r="E32" s="802"/>
      <c r="F32" s="809"/>
      <c r="G32" s="809"/>
      <c r="H32" s="809"/>
      <c r="I32" s="856">
        <f t="shared" si="1"/>
        <v>0</v>
      </c>
      <c r="J32" s="567"/>
      <c r="K32" s="558"/>
      <c r="L32" s="558"/>
      <c r="M32" s="558"/>
    </row>
    <row r="33" spans="1:13" ht="18.75">
      <c r="A33" s="812" t="s">
        <v>544</v>
      </c>
      <c r="B33" s="813" t="s">
        <v>413</v>
      </c>
      <c r="C33" s="900">
        <v>1859</v>
      </c>
      <c r="D33" s="807">
        <v>1490</v>
      </c>
      <c r="E33" s="807">
        <v>1490</v>
      </c>
      <c r="F33" s="815">
        <v>1490</v>
      </c>
      <c r="G33" s="815">
        <v>1490</v>
      </c>
      <c r="H33" s="815">
        <v>1490</v>
      </c>
      <c r="I33" s="856"/>
      <c r="J33" s="567">
        <v>355</v>
      </c>
      <c r="K33" s="558"/>
      <c r="L33" s="558"/>
      <c r="M33" s="558"/>
    </row>
    <row r="34" spans="1:13" ht="18.75">
      <c r="A34" s="816" t="s">
        <v>545</v>
      </c>
      <c r="B34" s="817" t="s">
        <v>546</v>
      </c>
      <c r="C34" s="901">
        <v>8.3</v>
      </c>
      <c r="D34" s="818">
        <v>8.4</v>
      </c>
      <c r="E34" s="818">
        <v>8.5</v>
      </c>
      <c r="F34" s="818">
        <v>8.6</v>
      </c>
      <c r="G34" s="818">
        <v>8.7</v>
      </c>
      <c r="H34" s="818">
        <v>8.8</v>
      </c>
      <c r="I34" s="856"/>
      <c r="J34" s="567"/>
      <c r="K34" s="558"/>
      <c r="L34" s="558"/>
      <c r="M34" s="558"/>
    </row>
    <row r="35" spans="1:13" ht="18.75">
      <c r="A35" s="816" t="s">
        <v>547</v>
      </c>
      <c r="B35" s="817" t="s">
        <v>538</v>
      </c>
      <c r="C35" s="901">
        <v>15406</v>
      </c>
      <c r="D35" s="807">
        <f>D34*D33</f>
        <v>12516</v>
      </c>
      <c r="E35" s="807">
        <f>E34*E33</f>
        <v>12665</v>
      </c>
      <c r="F35" s="807">
        <f>F34*F33</f>
        <v>12814</v>
      </c>
      <c r="G35" s="807">
        <f>G34*G33</f>
        <v>12962.999999999998</v>
      </c>
      <c r="H35" s="807">
        <f>H34*H33</f>
        <v>13112.000000000002</v>
      </c>
      <c r="I35" s="856"/>
      <c r="J35" s="567">
        <v>3043</v>
      </c>
      <c r="K35" s="558"/>
      <c r="L35" s="558"/>
      <c r="M35" s="558"/>
    </row>
    <row r="36" spans="1:13" ht="18.75">
      <c r="A36" s="822" t="s">
        <v>563</v>
      </c>
      <c r="B36" s="807"/>
      <c r="C36" s="899">
        <v>0</v>
      </c>
      <c r="D36" s="818"/>
      <c r="E36" s="807"/>
      <c r="F36" s="815"/>
      <c r="G36" s="815"/>
      <c r="H36" s="815"/>
      <c r="I36" s="856">
        <f t="shared" si="1"/>
        <v>0</v>
      </c>
      <c r="J36" s="567"/>
      <c r="K36" s="558"/>
      <c r="L36" s="558">
        <f>2758*6.6</f>
        <v>18202.8</v>
      </c>
      <c r="M36" s="558"/>
    </row>
    <row r="37" spans="1:13" ht="18.75">
      <c r="A37" s="812" t="s">
        <v>544</v>
      </c>
      <c r="B37" s="813" t="s">
        <v>413</v>
      </c>
      <c r="C37" s="900">
        <v>9035</v>
      </c>
      <c r="D37" s="807">
        <v>9293</v>
      </c>
      <c r="E37" s="807">
        <v>8303</v>
      </c>
      <c r="F37" s="815">
        <v>7985</v>
      </c>
      <c r="G37" s="815">
        <v>7805</v>
      </c>
      <c r="H37" s="815">
        <v>7605</v>
      </c>
      <c r="I37" s="856"/>
      <c r="J37" s="567">
        <v>1596</v>
      </c>
      <c r="K37" s="558"/>
      <c r="L37" s="558"/>
      <c r="M37" s="558"/>
    </row>
    <row r="38" spans="1:13" ht="18.75">
      <c r="A38" s="816" t="s">
        <v>545</v>
      </c>
      <c r="B38" s="817" t="s">
        <v>546</v>
      </c>
      <c r="C38" s="901">
        <v>7.1</v>
      </c>
      <c r="D38" s="818">
        <v>7.1</v>
      </c>
      <c r="E38" s="818">
        <v>7.1</v>
      </c>
      <c r="F38" s="818">
        <v>7.1</v>
      </c>
      <c r="G38" s="818">
        <v>7.1</v>
      </c>
      <c r="H38" s="818">
        <v>7.1</v>
      </c>
      <c r="I38" s="856">
        <f t="shared" si="1"/>
        <v>0</v>
      </c>
      <c r="J38" s="567"/>
      <c r="K38" s="558"/>
      <c r="L38" s="558"/>
      <c r="M38" s="558"/>
    </row>
    <row r="39" spans="1:13" ht="18.75">
      <c r="A39" s="816" t="s">
        <v>547</v>
      </c>
      <c r="B39" s="817" t="s">
        <v>538</v>
      </c>
      <c r="C39" s="901">
        <v>63808</v>
      </c>
      <c r="D39" s="900">
        <f>D38*D37</f>
        <v>65980.3</v>
      </c>
      <c r="E39" s="900">
        <f>E38*E37</f>
        <v>58951.299999999996</v>
      </c>
      <c r="F39" s="900">
        <f>F38*F37</f>
        <v>56693.5</v>
      </c>
      <c r="G39" s="900">
        <f>G38*G37</f>
        <v>55415.5</v>
      </c>
      <c r="H39" s="900">
        <f>H38*H37</f>
        <v>53995.5</v>
      </c>
      <c r="I39" s="856"/>
      <c r="J39" s="567">
        <v>6052</v>
      </c>
      <c r="K39" s="558"/>
      <c r="L39" s="558"/>
      <c r="M39" s="558"/>
    </row>
    <row r="40" spans="1:13" ht="18.75">
      <c r="A40" s="822" t="s">
        <v>564</v>
      </c>
      <c r="B40" s="807"/>
      <c r="C40" s="899">
        <v>0</v>
      </c>
      <c r="D40" s="818"/>
      <c r="E40" s="807"/>
      <c r="F40" s="815"/>
      <c r="G40" s="815"/>
      <c r="H40" s="815"/>
      <c r="I40" s="856">
        <f t="shared" si="1"/>
        <v>0</v>
      </c>
      <c r="J40" s="567"/>
      <c r="K40" s="558"/>
      <c r="L40" s="558"/>
      <c r="M40" s="558"/>
    </row>
    <row r="41" spans="1:13" ht="18.75">
      <c r="A41" s="812" t="s">
        <v>544</v>
      </c>
      <c r="B41" s="813" t="s">
        <v>413</v>
      </c>
      <c r="C41" s="900">
        <v>2945</v>
      </c>
      <c r="D41" s="807">
        <f>+'[6]Sheet4'!D37</f>
        <v>2020</v>
      </c>
      <c r="E41" s="807">
        <f>+'[6]Sheet4'!E37</f>
        <v>2020</v>
      </c>
      <c r="F41" s="807">
        <f>+'[6]Sheet4'!F37</f>
        <v>1170</v>
      </c>
      <c r="G41" s="807">
        <f>+'[6]Sheet4'!G37</f>
        <v>1170</v>
      </c>
      <c r="H41" s="807">
        <f>+'[6]Sheet4'!H37</f>
        <v>1170</v>
      </c>
      <c r="I41" s="856"/>
      <c r="J41" s="567">
        <v>1836</v>
      </c>
      <c r="K41" s="558"/>
      <c r="L41" s="558"/>
      <c r="M41" s="558"/>
    </row>
    <row r="42" spans="1:13" ht="18.75">
      <c r="A42" s="816" t="s">
        <v>545</v>
      </c>
      <c r="B42" s="817" t="s">
        <v>546</v>
      </c>
      <c r="C42" s="901">
        <v>6.4</v>
      </c>
      <c r="D42" s="818">
        <v>6.7</v>
      </c>
      <c r="E42" s="818">
        <v>6.7</v>
      </c>
      <c r="F42" s="818">
        <v>6.7</v>
      </c>
      <c r="G42" s="818">
        <v>6.7</v>
      </c>
      <c r="H42" s="818">
        <v>6.7</v>
      </c>
      <c r="I42" s="856"/>
      <c r="J42" s="567"/>
      <c r="K42" s="558"/>
      <c r="L42" s="558"/>
      <c r="M42" s="558"/>
    </row>
    <row r="43" spans="1:13" ht="18.75">
      <c r="A43" s="816" t="s">
        <v>547</v>
      </c>
      <c r="B43" s="817" t="s">
        <v>538</v>
      </c>
      <c r="C43" s="901">
        <v>18760</v>
      </c>
      <c r="D43" s="901">
        <f>D42*D41</f>
        <v>13534</v>
      </c>
      <c r="E43" s="901">
        <f>E42*E41</f>
        <v>13534</v>
      </c>
      <c r="F43" s="901">
        <f>F42*F41</f>
        <v>7839</v>
      </c>
      <c r="G43" s="901">
        <f>G42*G41</f>
        <v>7839</v>
      </c>
      <c r="H43" s="901">
        <f>H42*H41</f>
        <v>7839</v>
      </c>
      <c r="I43" s="856"/>
      <c r="J43" s="567">
        <v>11186</v>
      </c>
      <c r="K43" s="558"/>
      <c r="L43" s="558"/>
      <c r="M43" s="558"/>
    </row>
    <row r="44" spans="1:13" ht="19.5">
      <c r="A44" s="823" t="s">
        <v>565</v>
      </c>
      <c r="B44" s="801"/>
      <c r="C44" s="902">
        <v>0</v>
      </c>
      <c r="D44" s="806"/>
      <c r="E44" s="802"/>
      <c r="F44" s="809"/>
      <c r="G44" s="809"/>
      <c r="H44" s="809"/>
      <c r="I44" s="856">
        <f t="shared" si="1"/>
        <v>0</v>
      </c>
      <c r="J44" s="567"/>
      <c r="K44" s="558"/>
      <c r="L44" s="558"/>
      <c r="M44" s="558"/>
    </row>
    <row r="45" spans="1:13" ht="19.5">
      <c r="A45" s="802" t="s">
        <v>541</v>
      </c>
      <c r="B45" s="801" t="s">
        <v>413</v>
      </c>
      <c r="C45" s="894">
        <v>4025</v>
      </c>
      <c r="D45" s="802">
        <f>+D48+D52</f>
        <v>3695</v>
      </c>
      <c r="E45" s="802">
        <f>+E48+E52</f>
        <v>3595</v>
      </c>
      <c r="F45" s="802">
        <f>+F48+F52</f>
        <v>3595</v>
      </c>
      <c r="G45" s="802">
        <f>+G48+G52</f>
        <v>3370</v>
      </c>
      <c r="H45" s="802">
        <f>+H48+H52</f>
        <v>3270</v>
      </c>
      <c r="I45" s="856"/>
      <c r="J45" s="567">
        <v>1193</v>
      </c>
      <c r="K45" s="558"/>
      <c r="L45" s="558"/>
      <c r="M45" s="558"/>
    </row>
    <row r="46" spans="1:13" ht="19.5">
      <c r="A46" s="802" t="s">
        <v>566</v>
      </c>
      <c r="B46" s="801" t="s">
        <v>538</v>
      </c>
      <c r="C46" s="894">
        <v>76530</v>
      </c>
      <c r="D46" s="802">
        <f>+D50+D54</f>
        <v>72425</v>
      </c>
      <c r="E46" s="802">
        <f>+E50+E54</f>
        <v>70425</v>
      </c>
      <c r="F46" s="802">
        <f>+F50+F54</f>
        <v>70425</v>
      </c>
      <c r="G46" s="802">
        <f>+G50+G54</f>
        <v>65925</v>
      </c>
      <c r="H46" s="802">
        <f>+H50+H54</f>
        <v>63925</v>
      </c>
      <c r="I46" s="856"/>
      <c r="J46" s="567">
        <v>21141</v>
      </c>
      <c r="K46" s="558"/>
      <c r="L46" s="558"/>
      <c r="M46" s="558"/>
    </row>
    <row r="47" spans="1:13" ht="19.5">
      <c r="A47" s="822" t="s">
        <v>567</v>
      </c>
      <c r="B47" s="807"/>
      <c r="C47" s="899">
        <v>0</v>
      </c>
      <c r="D47" s="802"/>
      <c r="E47" s="802"/>
      <c r="F47" s="809"/>
      <c r="G47" s="809"/>
      <c r="H47" s="809"/>
      <c r="I47" s="856">
        <f t="shared" si="1"/>
        <v>0</v>
      </c>
      <c r="J47" s="567"/>
      <c r="K47" s="558"/>
      <c r="L47" s="558"/>
      <c r="M47" s="558"/>
    </row>
    <row r="48" spans="1:13" ht="18.75">
      <c r="A48" s="812" t="s">
        <v>544</v>
      </c>
      <c r="B48" s="813" t="s">
        <v>413</v>
      </c>
      <c r="C48" s="900">
        <v>300</v>
      </c>
      <c r="D48" s="807">
        <f>+'[6]Sheet4'!D43</f>
        <v>295</v>
      </c>
      <c r="E48" s="807">
        <f>+'[6]Sheet4'!E43</f>
        <v>295</v>
      </c>
      <c r="F48" s="807">
        <f>+'[6]Sheet4'!F43</f>
        <v>295</v>
      </c>
      <c r="G48" s="807">
        <f>+'[6]Sheet4'!G43</f>
        <v>295</v>
      </c>
      <c r="H48" s="807">
        <f>+'[6]Sheet4'!H43</f>
        <v>295</v>
      </c>
      <c r="I48" s="856">
        <f t="shared" si="1"/>
        <v>-5</v>
      </c>
      <c r="J48" s="567"/>
      <c r="K48" s="558"/>
      <c r="L48" s="558"/>
      <c r="M48" s="558"/>
    </row>
    <row r="49" spans="1:13" ht="18.75">
      <c r="A49" s="816" t="s">
        <v>545</v>
      </c>
      <c r="B49" s="817" t="s">
        <v>546</v>
      </c>
      <c r="C49" s="901">
        <v>14.2</v>
      </c>
      <c r="D49" s="818">
        <f>+D50/D48</f>
        <v>15</v>
      </c>
      <c r="E49" s="818">
        <f>+E50/E48</f>
        <v>15</v>
      </c>
      <c r="F49" s="818">
        <f>+F50/F48</f>
        <v>15</v>
      </c>
      <c r="G49" s="818">
        <f>+G50/G48</f>
        <v>15</v>
      </c>
      <c r="H49" s="818">
        <f>+H50/H48</f>
        <v>15</v>
      </c>
      <c r="I49" s="856">
        <f t="shared" si="1"/>
        <v>0.8000000000000007</v>
      </c>
      <c r="J49" s="567"/>
      <c r="K49" s="558"/>
      <c r="L49" s="558"/>
      <c r="M49" s="558"/>
    </row>
    <row r="50" spans="1:13" ht="18.75">
      <c r="A50" s="816" t="s">
        <v>547</v>
      </c>
      <c r="B50" s="817" t="s">
        <v>538</v>
      </c>
      <c r="C50" s="901">
        <v>4260</v>
      </c>
      <c r="D50" s="807">
        <f>+'[6]Sheet4'!D45</f>
        <v>4425</v>
      </c>
      <c r="E50" s="807">
        <f>+'[6]Sheet4'!E45</f>
        <v>4425</v>
      </c>
      <c r="F50" s="807">
        <f>+'[6]Sheet4'!F45</f>
        <v>4425</v>
      </c>
      <c r="G50" s="807">
        <f>+'[6]Sheet4'!G45</f>
        <v>4425</v>
      </c>
      <c r="H50" s="807">
        <f>+'[6]Sheet4'!H45</f>
        <v>4425</v>
      </c>
      <c r="I50" s="856">
        <f t="shared" si="1"/>
        <v>165</v>
      </c>
      <c r="J50" s="567"/>
      <c r="K50" s="558"/>
      <c r="L50" s="558"/>
      <c r="M50" s="558"/>
    </row>
    <row r="51" spans="1:13" ht="18.75">
      <c r="A51" s="822" t="s">
        <v>568</v>
      </c>
      <c r="B51" s="807"/>
      <c r="C51" s="899">
        <v>0</v>
      </c>
      <c r="D51" s="818"/>
      <c r="E51" s="807"/>
      <c r="F51" s="815"/>
      <c r="G51" s="815"/>
      <c r="H51" s="815"/>
      <c r="I51" s="856">
        <f t="shared" si="1"/>
        <v>0</v>
      </c>
      <c r="J51" s="567"/>
      <c r="K51" s="558"/>
      <c r="L51" s="558"/>
      <c r="M51" s="558"/>
    </row>
    <row r="52" spans="1:13" ht="18.75">
      <c r="A52" s="812" t="s">
        <v>544</v>
      </c>
      <c r="B52" s="813" t="s">
        <v>413</v>
      </c>
      <c r="C52" s="900">
        <v>3725</v>
      </c>
      <c r="D52" s="807">
        <f>+'[6]Sheet4'!D47</f>
        <v>3400</v>
      </c>
      <c r="E52" s="807">
        <f>+'[6]Sheet4'!E47</f>
        <v>3300</v>
      </c>
      <c r="F52" s="807">
        <f>+'[6]Sheet4'!F47</f>
        <v>3300</v>
      </c>
      <c r="G52" s="807">
        <f>+'[6]Sheet4'!G47</f>
        <v>3075</v>
      </c>
      <c r="H52" s="807">
        <f>+'[6]Sheet4'!H47</f>
        <v>2975</v>
      </c>
      <c r="I52" s="856"/>
      <c r="J52" s="567">
        <v>1248</v>
      </c>
      <c r="K52" s="558"/>
      <c r="L52" s="558"/>
      <c r="M52" s="558"/>
    </row>
    <row r="53" spans="1:13" ht="18.75">
      <c r="A53" s="812" t="s">
        <v>545</v>
      </c>
      <c r="B53" s="813" t="s">
        <v>546</v>
      </c>
      <c r="C53" s="900">
        <v>19.4</v>
      </c>
      <c r="D53" s="818">
        <f>+D54/D52</f>
        <v>20</v>
      </c>
      <c r="E53" s="818">
        <f>+E54/E52</f>
        <v>20</v>
      </c>
      <c r="F53" s="818">
        <f>+F54/F52</f>
        <v>20</v>
      </c>
      <c r="G53" s="818">
        <f>+G54/G52</f>
        <v>20</v>
      </c>
      <c r="H53" s="818">
        <f>+H54/H52</f>
        <v>20</v>
      </c>
      <c r="I53" s="856">
        <f t="shared" si="1"/>
        <v>0.6000000000000014</v>
      </c>
      <c r="J53" s="567"/>
      <c r="K53" s="558"/>
      <c r="L53" s="558"/>
      <c r="M53" s="558"/>
    </row>
    <row r="54" spans="1:13" ht="18.75">
      <c r="A54" s="812" t="s">
        <v>547</v>
      </c>
      <c r="B54" s="813" t="s">
        <v>538</v>
      </c>
      <c r="C54" s="900">
        <v>72270</v>
      </c>
      <c r="D54" s="807">
        <f>+'[6]Sheet4'!D49</f>
        <v>68000</v>
      </c>
      <c r="E54" s="807">
        <f>+'[6]Sheet4'!E49</f>
        <v>66000</v>
      </c>
      <c r="F54" s="807">
        <f>+'[6]Sheet4'!F49</f>
        <v>66000</v>
      </c>
      <c r="G54" s="807">
        <f>+'[6]Sheet4'!G49</f>
        <v>61500</v>
      </c>
      <c r="H54" s="807">
        <f>+'[6]Sheet4'!H49</f>
        <v>59500</v>
      </c>
      <c r="I54" s="856"/>
      <c r="J54" s="567">
        <v>22040</v>
      </c>
      <c r="K54" s="558"/>
      <c r="L54" s="558"/>
      <c r="M54" s="558"/>
    </row>
    <row r="55" spans="1:13" ht="19.5">
      <c r="A55" s="825" t="s">
        <v>569</v>
      </c>
      <c r="B55" s="813"/>
      <c r="C55" s="900">
        <v>0</v>
      </c>
      <c r="D55" s="802"/>
      <c r="E55" s="802"/>
      <c r="F55" s="809"/>
      <c r="G55" s="809"/>
      <c r="H55" s="809"/>
      <c r="I55" s="856">
        <f t="shared" si="1"/>
        <v>0</v>
      </c>
      <c r="J55" s="567"/>
      <c r="K55" s="558"/>
      <c r="L55" s="558"/>
      <c r="M55" s="558"/>
    </row>
    <row r="56" spans="1:13" ht="19.5">
      <c r="A56" s="802" t="s">
        <v>541</v>
      </c>
      <c r="B56" s="801" t="s">
        <v>413</v>
      </c>
      <c r="C56" s="894">
        <v>1241</v>
      </c>
      <c r="D56" s="802">
        <f>+D59+D63+D67</f>
        <v>1263</v>
      </c>
      <c r="E56" s="802">
        <f>+E59+E63+E67</f>
        <v>1263</v>
      </c>
      <c r="F56" s="802">
        <f>+F59+F63+F67</f>
        <v>1263</v>
      </c>
      <c r="G56" s="802">
        <f>+G59+G63+G67</f>
        <v>1263</v>
      </c>
      <c r="H56" s="802">
        <f>+H59+H63+H67</f>
        <v>1197</v>
      </c>
      <c r="I56" s="856"/>
      <c r="J56" s="567">
        <v>168</v>
      </c>
      <c r="K56" s="558"/>
      <c r="L56" s="558"/>
      <c r="M56" s="558"/>
    </row>
    <row r="57" spans="1:13" ht="19.5">
      <c r="A57" s="802" t="s">
        <v>566</v>
      </c>
      <c r="B57" s="801" t="s">
        <v>538</v>
      </c>
      <c r="C57" s="894">
        <v>8439</v>
      </c>
      <c r="D57" s="802">
        <f>+D61+D65+D69</f>
        <v>8429</v>
      </c>
      <c r="E57" s="802">
        <f>+E61+E65+E69</f>
        <v>8429</v>
      </c>
      <c r="F57" s="802">
        <f>+F61+F65+F69</f>
        <v>8429</v>
      </c>
      <c r="G57" s="802">
        <f>+G61+G65+G69</f>
        <v>8429</v>
      </c>
      <c r="H57" s="802">
        <f>+H61+H65+H69</f>
        <v>8352.1</v>
      </c>
      <c r="I57" s="856"/>
      <c r="J57" s="567">
        <v>399</v>
      </c>
      <c r="K57" s="558"/>
      <c r="L57" s="558"/>
      <c r="M57" s="558"/>
    </row>
    <row r="58" spans="1:13" ht="19.5">
      <c r="A58" s="822" t="s">
        <v>570</v>
      </c>
      <c r="B58" s="807"/>
      <c r="C58" s="899"/>
      <c r="D58" s="802"/>
      <c r="E58" s="802"/>
      <c r="F58" s="809"/>
      <c r="G58" s="809"/>
      <c r="H58" s="809"/>
      <c r="I58" s="856">
        <f t="shared" si="1"/>
        <v>0</v>
      </c>
      <c r="J58" s="567"/>
      <c r="K58" s="558"/>
      <c r="L58" s="558"/>
      <c r="M58" s="558"/>
    </row>
    <row r="59" spans="1:13" ht="18.75">
      <c r="A59" s="812" t="s">
        <v>544</v>
      </c>
      <c r="B59" s="813" t="s">
        <v>413</v>
      </c>
      <c r="C59" s="900">
        <v>85</v>
      </c>
      <c r="D59" s="807">
        <f>+'[6]Sheet4'!D53</f>
        <v>95</v>
      </c>
      <c r="E59" s="807">
        <f>+'[6]Sheet4'!E53</f>
        <v>95</v>
      </c>
      <c r="F59" s="807">
        <f>+'[6]Sheet4'!F53</f>
        <v>95</v>
      </c>
      <c r="G59" s="807">
        <f>+'[6]Sheet4'!G53</f>
        <v>95</v>
      </c>
      <c r="H59" s="807">
        <f>+'[6]Sheet4'!H53</f>
        <v>83</v>
      </c>
      <c r="I59" s="856"/>
      <c r="J59" s="567">
        <v>34</v>
      </c>
      <c r="K59" s="558"/>
      <c r="L59" s="558"/>
      <c r="M59" s="558"/>
    </row>
    <row r="60" spans="1:13" ht="18.75">
      <c r="A60" s="816" t="s">
        <v>545</v>
      </c>
      <c r="B60" s="817" t="s">
        <v>546</v>
      </c>
      <c r="C60" s="901">
        <v>1.0139618625277163</v>
      </c>
      <c r="D60" s="818">
        <f>+D61/D59</f>
        <v>1</v>
      </c>
      <c r="E60" s="818">
        <f>+E61/E59</f>
        <v>1</v>
      </c>
      <c r="F60" s="818">
        <f>+F61/F59</f>
        <v>1</v>
      </c>
      <c r="G60" s="818">
        <f>+G61/G59</f>
        <v>1</v>
      </c>
      <c r="H60" s="818">
        <f>+H61/H59</f>
        <v>1</v>
      </c>
      <c r="I60" s="856"/>
      <c r="J60" s="567"/>
      <c r="K60" s="558"/>
      <c r="L60" s="558"/>
      <c r="M60" s="558"/>
    </row>
    <row r="61" spans="1:13" ht="18.75">
      <c r="A61" s="816" t="s">
        <v>547</v>
      </c>
      <c r="B61" s="817" t="s">
        <v>538</v>
      </c>
      <c r="C61" s="901">
        <v>85</v>
      </c>
      <c r="D61" s="807">
        <f>+'[6]Sheet4'!D55</f>
        <v>95</v>
      </c>
      <c r="E61" s="807">
        <f>+'[6]Sheet4'!E55</f>
        <v>95</v>
      </c>
      <c r="F61" s="807">
        <f>+'[6]Sheet4'!F55</f>
        <v>95</v>
      </c>
      <c r="G61" s="807">
        <f>+'[6]Sheet4'!G55</f>
        <v>95</v>
      </c>
      <c r="H61" s="807">
        <f>+'[6]Sheet4'!H55</f>
        <v>83</v>
      </c>
      <c r="I61" s="856"/>
      <c r="J61" s="567">
        <v>36</v>
      </c>
      <c r="K61" s="558"/>
      <c r="L61" s="558"/>
      <c r="M61" s="558"/>
    </row>
    <row r="62" spans="1:13" ht="18.75">
      <c r="A62" s="822" t="s">
        <v>571</v>
      </c>
      <c r="B62" s="807"/>
      <c r="C62" s="899">
        <v>0</v>
      </c>
      <c r="D62" s="818"/>
      <c r="E62" s="807"/>
      <c r="F62" s="815"/>
      <c r="G62" s="815"/>
      <c r="H62" s="815"/>
      <c r="I62" s="856">
        <f t="shared" si="1"/>
        <v>0</v>
      </c>
      <c r="J62" s="567"/>
      <c r="K62" s="558"/>
      <c r="L62" s="558"/>
      <c r="M62" s="558"/>
    </row>
    <row r="63" spans="1:13" ht="18.75">
      <c r="A63" s="812" t="s">
        <v>544</v>
      </c>
      <c r="B63" s="813" t="s">
        <v>413</v>
      </c>
      <c r="C63" s="900">
        <v>511</v>
      </c>
      <c r="D63" s="807">
        <f>+'[6]Sheet4'!D57</f>
        <v>526</v>
      </c>
      <c r="E63" s="807">
        <f>+'[6]Sheet4'!E57</f>
        <v>526</v>
      </c>
      <c r="F63" s="807">
        <f>+'[6]Sheet4'!F57</f>
        <v>526</v>
      </c>
      <c r="G63" s="807">
        <f>+'[6]Sheet4'!G57</f>
        <v>526</v>
      </c>
      <c r="H63" s="807">
        <f>+'[6]Sheet4'!H57</f>
        <v>472</v>
      </c>
      <c r="I63" s="856"/>
      <c r="J63" s="567">
        <v>128</v>
      </c>
      <c r="K63" s="558"/>
      <c r="L63" s="558"/>
      <c r="M63" s="558"/>
    </row>
    <row r="64" spans="1:13" ht="18.75">
      <c r="A64" s="816" t="s">
        <v>545</v>
      </c>
      <c r="B64" s="817" t="s">
        <v>546</v>
      </c>
      <c r="C64" s="901">
        <v>1.239946883636603</v>
      </c>
      <c r="D64" s="818">
        <f>+D65/D63</f>
        <v>1.1977186311787071</v>
      </c>
      <c r="E64" s="818">
        <f>+E65/E63</f>
        <v>1.1977186311787071</v>
      </c>
      <c r="F64" s="818">
        <f>+F65/F63</f>
        <v>1.1977186311787071</v>
      </c>
      <c r="G64" s="818">
        <f>+G65/G63</f>
        <v>1.1977186311787071</v>
      </c>
      <c r="H64" s="818">
        <f>+H65/H63</f>
        <v>1.1972457627118644</v>
      </c>
      <c r="I64" s="856"/>
      <c r="J64" s="567"/>
      <c r="K64" s="558"/>
      <c r="L64" s="558"/>
      <c r="M64" s="558"/>
    </row>
    <row r="65" spans="1:13" ht="18.75">
      <c r="A65" s="816" t="s">
        <v>547</v>
      </c>
      <c r="B65" s="817" t="s">
        <v>538</v>
      </c>
      <c r="C65" s="901">
        <v>614</v>
      </c>
      <c r="D65" s="807">
        <f>+'[6]Sheet4'!D59</f>
        <v>630</v>
      </c>
      <c r="E65" s="807">
        <f>+'[6]Sheet4'!E59</f>
        <v>630</v>
      </c>
      <c r="F65" s="807">
        <f>+'[6]Sheet4'!F59</f>
        <v>630</v>
      </c>
      <c r="G65" s="807">
        <f>+'[6]Sheet4'!G59</f>
        <v>630</v>
      </c>
      <c r="H65" s="807">
        <f>+'[6]Sheet4'!H59</f>
        <v>565.1</v>
      </c>
      <c r="I65" s="856"/>
      <c r="J65" s="567">
        <v>182</v>
      </c>
      <c r="K65" s="558"/>
      <c r="L65" s="558"/>
      <c r="M65" s="558"/>
    </row>
    <row r="66" spans="1:13" ht="18.75">
      <c r="A66" s="822" t="s">
        <v>572</v>
      </c>
      <c r="B66" s="807"/>
      <c r="C66" s="899">
        <v>0</v>
      </c>
      <c r="D66" s="807"/>
      <c r="E66" s="807"/>
      <c r="F66" s="815"/>
      <c r="G66" s="815"/>
      <c r="H66" s="815"/>
      <c r="I66" s="856">
        <f t="shared" si="1"/>
        <v>0</v>
      </c>
      <c r="J66" s="567"/>
      <c r="K66" s="558"/>
      <c r="L66" s="558"/>
      <c r="M66" s="558"/>
    </row>
    <row r="67" spans="1:13" ht="18.75">
      <c r="A67" s="812" t="s">
        <v>544</v>
      </c>
      <c r="B67" s="813" t="s">
        <v>413</v>
      </c>
      <c r="C67" s="900">
        <v>645</v>
      </c>
      <c r="D67" s="807">
        <f>+'[6]Sheet4'!D61</f>
        <v>642</v>
      </c>
      <c r="E67" s="807">
        <f>+'[6]Sheet4'!E61</f>
        <v>642</v>
      </c>
      <c r="F67" s="807">
        <f>+'[6]Sheet4'!F61</f>
        <v>642</v>
      </c>
      <c r="G67" s="807">
        <f>+'[6]Sheet4'!G61</f>
        <v>642</v>
      </c>
      <c r="H67" s="807">
        <f>+'[6]Sheet4'!H61</f>
        <v>642</v>
      </c>
      <c r="I67" s="856">
        <f t="shared" si="1"/>
        <v>-3</v>
      </c>
      <c r="J67" s="567"/>
      <c r="K67" s="558"/>
      <c r="L67" s="558"/>
      <c r="M67" s="558"/>
    </row>
    <row r="68" spans="1:13" ht="18.75">
      <c r="A68" s="816" t="s">
        <v>545</v>
      </c>
      <c r="B68" s="817" t="s">
        <v>546</v>
      </c>
      <c r="C68" s="901">
        <v>12</v>
      </c>
      <c r="D68" s="818">
        <f>+D69/D67</f>
        <v>12</v>
      </c>
      <c r="E68" s="818">
        <f>+E69/E67</f>
        <v>12</v>
      </c>
      <c r="F68" s="818">
        <f>+F69/F67</f>
        <v>12</v>
      </c>
      <c r="G68" s="818">
        <f>+G69/G67</f>
        <v>12</v>
      </c>
      <c r="H68" s="818">
        <f>+H69/H67</f>
        <v>12</v>
      </c>
      <c r="I68" s="856">
        <f t="shared" si="1"/>
        <v>0</v>
      </c>
      <c r="J68" s="567"/>
      <c r="K68" s="558"/>
      <c r="L68" s="558"/>
      <c r="M68" s="558"/>
    </row>
    <row r="69" spans="1:13" ht="18.75">
      <c r="A69" s="816" t="s">
        <v>547</v>
      </c>
      <c r="B69" s="817" t="s">
        <v>538</v>
      </c>
      <c r="C69" s="901">
        <v>7740</v>
      </c>
      <c r="D69" s="807">
        <f>+'[6]Sheet4'!D63</f>
        <v>7704</v>
      </c>
      <c r="E69" s="807">
        <f>+'[6]Sheet4'!E63</f>
        <v>7704</v>
      </c>
      <c r="F69" s="807">
        <f>+'[6]Sheet4'!F63</f>
        <v>7704</v>
      </c>
      <c r="G69" s="807">
        <f>+'[6]Sheet4'!G63</f>
        <v>7704</v>
      </c>
      <c r="H69" s="807">
        <f>+'[6]Sheet4'!H63</f>
        <v>7704</v>
      </c>
      <c r="I69" s="856">
        <f t="shared" si="1"/>
        <v>-36</v>
      </c>
      <c r="J69" s="567"/>
      <c r="K69" s="558"/>
      <c r="L69" s="558"/>
      <c r="M69" s="558"/>
    </row>
    <row r="70" spans="1:13" ht="18.75" hidden="1">
      <c r="A70" s="826" t="s">
        <v>881</v>
      </c>
      <c r="B70" s="817"/>
      <c r="C70" s="901"/>
      <c r="D70" s="807"/>
      <c r="E70" s="807"/>
      <c r="F70" s="807"/>
      <c r="G70" s="807"/>
      <c r="H70" s="807"/>
      <c r="I70" s="856">
        <f t="shared" si="1"/>
        <v>0</v>
      </c>
      <c r="J70" s="567"/>
      <c r="K70" s="558"/>
      <c r="L70" s="558"/>
      <c r="M70" s="558"/>
    </row>
    <row r="71" spans="1:13" ht="18.75" hidden="1">
      <c r="A71" s="812" t="s">
        <v>551</v>
      </c>
      <c r="B71" s="813" t="s">
        <v>413</v>
      </c>
      <c r="C71" s="901"/>
      <c r="D71" s="807"/>
      <c r="E71" s="807"/>
      <c r="F71" s="807"/>
      <c r="G71" s="807"/>
      <c r="H71" s="807"/>
      <c r="I71" s="856"/>
      <c r="J71" s="567">
        <v>37</v>
      </c>
      <c r="K71" s="558"/>
      <c r="L71" s="558"/>
      <c r="M71" s="558"/>
    </row>
    <row r="72" spans="1:13" ht="18.75" hidden="1">
      <c r="A72" s="816" t="s">
        <v>553</v>
      </c>
      <c r="B72" s="817" t="s">
        <v>546</v>
      </c>
      <c r="C72" s="901"/>
      <c r="D72" s="807"/>
      <c r="E72" s="807"/>
      <c r="F72" s="807"/>
      <c r="G72" s="807"/>
      <c r="H72" s="807"/>
      <c r="I72" s="856"/>
      <c r="J72" s="567">
        <v>15</v>
      </c>
      <c r="K72" s="558"/>
      <c r="L72" s="558"/>
      <c r="M72" s="558"/>
    </row>
    <row r="73" spans="1:13" ht="18.75" hidden="1">
      <c r="A73" s="816" t="s">
        <v>556</v>
      </c>
      <c r="B73" s="817" t="s">
        <v>538</v>
      </c>
      <c r="C73" s="901"/>
      <c r="D73" s="807"/>
      <c r="E73" s="807"/>
      <c r="F73" s="807"/>
      <c r="G73" s="807"/>
      <c r="H73" s="807"/>
      <c r="I73" s="856"/>
      <c r="J73" s="567">
        <v>555</v>
      </c>
      <c r="K73" s="558"/>
      <c r="L73" s="558"/>
      <c r="M73" s="558"/>
    </row>
    <row r="74" spans="1:13" ht="19.5">
      <c r="A74" s="825" t="s">
        <v>573</v>
      </c>
      <c r="B74" s="801"/>
      <c r="C74" s="902"/>
      <c r="D74" s="806"/>
      <c r="E74" s="802"/>
      <c r="F74" s="809"/>
      <c r="G74" s="809"/>
      <c r="H74" s="809"/>
      <c r="I74" s="856">
        <f aca="true" t="shared" si="3" ref="I74:I135">H74-C74</f>
        <v>0</v>
      </c>
      <c r="J74" s="567"/>
      <c r="K74" s="558"/>
      <c r="L74" s="558"/>
      <c r="M74" s="558"/>
    </row>
    <row r="75" spans="1:13" ht="19.5">
      <c r="A75" s="802" t="s">
        <v>541</v>
      </c>
      <c r="B75" s="801" t="s">
        <v>413</v>
      </c>
      <c r="C75" s="894">
        <v>477</v>
      </c>
      <c r="D75" s="802">
        <f>+D78+D82+D86</f>
        <v>339</v>
      </c>
      <c r="E75" s="802">
        <f>+E78+E82+E86</f>
        <v>339</v>
      </c>
      <c r="F75" s="802">
        <f>+F78+F82+F86</f>
        <v>339</v>
      </c>
      <c r="G75" s="802">
        <f>+G78+G82+G86</f>
        <v>339</v>
      </c>
      <c r="H75" s="802">
        <f>+H78+H82+H86</f>
        <v>339</v>
      </c>
      <c r="I75" s="856"/>
      <c r="J75" s="567">
        <v>272</v>
      </c>
      <c r="K75" s="558"/>
      <c r="L75" s="558"/>
      <c r="M75" s="558"/>
    </row>
    <row r="76" spans="1:13" ht="19.5">
      <c r="A76" s="802" t="s">
        <v>566</v>
      </c>
      <c r="B76" s="801" t="s">
        <v>538</v>
      </c>
      <c r="C76" s="894">
        <v>1091</v>
      </c>
      <c r="D76" s="802">
        <f>+D80+D84+D88</f>
        <v>849.5</v>
      </c>
      <c r="E76" s="802">
        <f>+E80+E84+E88</f>
        <v>849.5</v>
      </c>
      <c r="F76" s="802">
        <f>+F80+F84+F88</f>
        <v>849.5</v>
      </c>
      <c r="G76" s="802">
        <f>+G80+G84+G88</f>
        <v>849.5</v>
      </c>
      <c r="H76" s="802">
        <f>+H80+H84+H88</f>
        <v>849.5</v>
      </c>
      <c r="I76" s="856"/>
      <c r="J76" s="567">
        <v>756</v>
      </c>
      <c r="K76" s="558"/>
      <c r="L76" s="558"/>
      <c r="M76" s="558"/>
    </row>
    <row r="77" spans="1:13" ht="19.5">
      <c r="A77" s="822" t="s">
        <v>574</v>
      </c>
      <c r="B77" s="807"/>
      <c r="C77" s="899"/>
      <c r="D77" s="802"/>
      <c r="E77" s="802"/>
      <c r="F77" s="809"/>
      <c r="G77" s="809"/>
      <c r="H77" s="809"/>
      <c r="I77" s="856">
        <f t="shared" si="3"/>
        <v>0</v>
      </c>
      <c r="J77" s="567"/>
      <c r="K77" s="558"/>
      <c r="L77" s="558"/>
      <c r="M77" s="558"/>
    </row>
    <row r="78" spans="1:13" ht="18.75">
      <c r="A78" s="812" t="s">
        <v>544</v>
      </c>
      <c r="B78" s="813" t="s">
        <v>413</v>
      </c>
      <c r="C78" s="903">
        <v>262</v>
      </c>
      <c r="D78" s="807">
        <f>+'[6]Sheet4'!D67</f>
        <v>192</v>
      </c>
      <c r="E78" s="807">
        <f>+'[6]Sheet4'!E67</f>
        <v>192</v>
      </c>
      <c r="F78" s="807">
        <f>+'[6]Sheet4'!F67</f>
        <v>192</v>
      </c>
      <c r="G78" s="807">
        <f>+'[6]Sheet4'!G67</f>
        <v>192</v>
      </c>
      <c r="H78" s="807">
        <f>+'[6]Sheet4'!H67</f>
        <v>192</v>
      </c>
      <c r="I78" s="856"/>
      <c r="J78" s="567">
        <v>179</v>
      </c>
      <c r="K78" s="558"/>
      <c r="L78" s="558"/>
      <c r="M78" s="558"/>
    </row>
    <row r="79" spans="1:13" ht="18.75">
      <c r="A79" s="816" t="s">
        <v>545</v>
      </c>
      <c r="B79" s="817" t="s">
        <v>546</v>
      </c>
      <c r="C79" s="904">
        <v>1.9834466118046161</v>
      </c>
      <c r="D79" s="818">
        <f>+D80/D78</f>
        <v>2</v>
      </c>
      <c r="E79" s="818">
        <f>+E80/E78</f>
        <v>2</v>
      </c>
      <c r="F79" s="818">
        <f>+F80/F78</f>
        <v>2</v>
      </c>
      <c r="G79" s="818">
        <f>+G80/G78</f>
        <v>2</v>
      </c>
      <c r="H79" s="818">
        <f>+H80/H78</f>
        <v>2</v>
      </c>
      <c r="I79" s="856">
        <f t="shared" si="3"/>
        <v>0.016553388195383878</v>
      </c>
      <c r="J79" s="567"/>
      <c r="K79" s="558"/>
      <c r="L79" s="558"/>
      <c r="M79" s="558"/>
    </row>
    <row r="80" spans="1:13" ht="18.75">
      <c r="A80" s="816" t="s">
        <v>547</v>
      </c>
      <c r="B80" s="817" t="s">
        <v>538</v>
      </c>
      <c r="C80" s="903">
        <v>524</v>
      </c>
      <c r="D80" s="807">
        <f>+'[6]Sheet4'!D69</f>
        <v>384</v>
      </c>
      <c r="E80" s="807">
        <f>+'[6]Sheet4'!E69</f>
        <v>384</v>
      </c>
      <c r="F80" s="807">
        <f>+'[6]Sheet4'!F69</f>
        <v>384</v>
      </c>
      <c r="G80" s="807">
        <f>+'[6]Sheet4'!G69</f>
        <v>384</v>
      </c>
      <c r="H80" s="807">
        <f>+'[6]Sheet4'!H69</f>
        <v>384</v>
      </c>
      <c r="I80" s="856"/>
      <c r="J80" s="567">
        <v>353</v>
      </c>
      <c r="K80" s="558"/>
      <c r="L80" s="558"/>
      <c r="M80" s="558"/>
    </row>
    <row r="81" spans="1:13" ht="18.75">
      <c r="A81" s="822" t="s">
        <v>575</v>
      </c>
      <c r="B81" s="807"/>
      <c r="C81" s="903">
        <v>0</v>
      </c>
      <c r="D81" s="818"/>
      <c r="E81" s="807"/>
      <c r="F81" s="815"/>
      <c r="G81" s="815"/>
      <c r="H81" s="815"/>
      <c r="I81" s="856">
        <f t="shared" si="3"/>
        <v>0</v>
      </c>
      <c r="J81" s="567"/>
      <c r="K81" s="558"/>
      <c r="L81" s="558"/>
      <c r="M81" s="558"/>
    </row>
    <row r="82" spans="1:13" ht="18.75">
      <c r="A82" s="812" t="s">
        <v>544</v>
      </c>
      <c r="B82" s="813" t="s">
        <v>413</v>
      </c>
      <c r="C82" s="903">
        <v>210</v>
      </c>
      <c r="D82" s="807">
        <f>+'[6]Sheet4'!D71</f>
        <v>142</v>
      </c>
      <c r="E82" s="807">
        <f>+'[6]Sheet4'!E71</f>
        <v>142</v>
      </c>
      <c r="F82" s="807">
        <f>+'[6]Sheet4'!F71</f>
        <v>142</v>
      </c>
      <c r="G82" s="807">
        <f>+'[6]Sheet4'!G71</f>
        <v>142</v>
      </c>
      <c r="H82" s="807">
        <v>142</v>
      </c>
      <c r="I82" s="856"/>
      <c r="J82" s="567">
        <v>137</v>
      </c>
      <c r="K82" s="558"/>
      <c r="L82" s="558"/>
      <c r="M82" s="558"/>
    </row>
    <row r="83" spans="1:13" ht="18.75">
      <c r="A83" s="816" t="s">
        <v>545</v>
      </c>
      <c r="B83" s="817" t="s">
        <v>546</v>
      </c>
      <c r="C83" s="904">
        <v>1.5303163992608455</v>
      </c>
      <c r="D83" s="818">
        <f>+D84/D82</f>
        <v>1.517605633802817</v>
      </c>
      <c r="E83" s="818">
        <f>+E84/E82</f>
        <v>1.517605633802817</v>
      </c>
      <c r="F83" s="818">
        <f>+F84/F82</f>
        <v>1.517605633802817</v>
      </c>
      <c r="G83" s="818">
        <f>+G84/G82</f>
        <v>1.517605633802817</v>
      </c>
      <c r="H83" s="818">
        <f>+H84/H82</f>
        <v>1.517605633802817</v>
      </c>
      <c r="I83" s="856"/>
      <c r="J83" s="567"/>
      <c r="K83" s="558"/>
      <c r="L83" s="558"/>
      <c r="M83" s="558"/>
    </row>
    <row r="84" spans="1:13" ht="18.75">
      <c r="A84" s="816" t="s">
        <v>547</v>
      </c>
      <c r="B84" s="817" t="s">
        <v>538</v>
      </c>
      <c r="C84" s="903">
        <v>317</v>
      </c>
      <c r="D84" s="807">
        <f>+'[6]Sheet4'!D73</f>
        <v>215.5</v>
      </c>
      <c r="E84" s="807">
        <f>+'[6]Sheet4'!E73</f>
        <v>215.5</v>
      </c>
      <c r="F84" s="807">
        <f>+'[6]Sheet4'!F73</f>
        <v>215.5</v>
      </c>
      <c r="G84" s="807">
        <f>+'[6]Sheet4'!G73</f>
        <v>215.5</v>
      </c>
      <c r="H84" s="807">
        <f>+'[6]Sheet4'!H73</f>
        <v>215.5</v>
      </c>
      <c r="I84" s="856"/>
      <c r="J84" s="567">
        <v>223</v>
      </c>
      <c r="K84" s="558"/>
      <c r="L84" s="558"/>
      <c r="M84" s="558"/>
    </row>
    <row r="85" spans="1:13" ht="18.75">
      <c r="A85" s="822" t="s">
        <v>576</v>
      </c>
      <c r="B85" s="807"/>
      <c r="C85" s="903">
        <v>0</v>
      </c>
      <c r="D85" s="818"/>
      <c r="E85" s="814"/>
      <c r="F85" s="815"/>
      <c r="G85" s="567"/>
      <c r="H85" s="567"/>
      <c r="I85" s="856">
        <f t="shared" si="3"/>
        <v>0</v>
      </c>
      <c r="J85" s="567"/>
      <c r="K85" s="558"/>
      <c r="L85" s="558"/>
      <c r="M85" s="558"/>
    </row>
    <row r="86" spans="1:14" ht="18.75">
      <c r="A86" s="812" t="s">
        <v>544</v>
      </c>
      <c r="B86" s="813" t="s">
        <v>413</v>
      </c>
      <c r="C86" s="903">
        <v>5</v>
      </c>
      <c r="D86" s="807">
        <f>+'[6]Sheet4'!D75</f>
        <v>5</v>
      </c>
      <c r="E86" s="807">
        <f>+'[6]Sheet4'!E75</f>
        <v>5</v>
      </c>
      <c r="F86" s="807">
        <f>+'[6]Sheet4'!F75</f>
        <v>5</v>
      </c>
      <c r="G86" s="807">
        <f>+'[6]Sheet4'!G75</f>
        <v>5</v>
      </c>
      <c r="H86" s="807">
        <f>+'[6]Sheet4'!H75</f>
        <v>5</v>
      </c>
      <c r="I86" s="856"/>
      <c r="J86" s="921">
        <v>4</v>
      </c>
      <c r="K86" s="827">
        <v>43088</v>
      </c>
      <c r="L86" s="827"/>
      <c r="M86" s="827"/>
      <c r="N86" s="828"/>
    </row>
    <row r="87" spans="1:14" ht="18.75">
      <c r="A87" s="816" t="s">
        <v>545</v>
      </c>
      <c r="B87" s="817" t="s">
        <v>546</v>
      </c>
      <c r="C87" s="904">
        <v>50</v>
      </c>
      <c r="D87" s="818">
        <f>+D88/D86</f>
        <v>50</v>
      </c>
      <c r="E87" s="818">
        <f>+E88/E86</f>
        <v>50</v>
      </c>
      <c r="F87" s="818">
        <f>+F88/F86</f>
        <v>50</v>
      </c>
      <c r="G87" s="818">
        <f>+G88/G86</f>
        <v>50</v>
      </c>
      <c r="H87" s="818">
        <f>+H88/H86</f>
        <v>50</v>
      </c>
      <c r="I87" s="856">
        <f t="shared" si="3"/>
        <v>0</v>
      </c>
      <c r="J87" s="921"/>
      <c r="K87" s="827"/>
      <c r="L87" s="827"/>
      <c r="M87" s="827"/>
      <c r="N87" s="828"/>
    </row>
    <row r="88" spans="1:14" ht="18.75">
      <c r="A88" s="816" t="s">
        <v>547</v>
      </c>
      <c r="B88" s="817" t="s">
        <v>538</v>
      </c>
      <c r="C88" s="903">
        <v>250</v>
      </c>
      <c r="D88" s="807">
        <f>+'[6]Sheet4'!D77</f>
        <v>250</v>
      </c>
      <c r="E88" s="807">
        <f>+'[6]Sheet4'!E77</f>
        <v>250</v>
      </c>
      <c r="F88" s="807">
        <f>+'[6]Sheet4'!F77</f>
        <v>250</v>
      </c>
      <c r="G88" s="807">
        <f>+'[6]Sheet4'!G77</f>
        <v>250</v>
      </c>
      <c r="H88" s="807">
        <f>+'[6]Sheet4'!H77</f>
        <v>250</v>
      </c>
      <c r="I88" s="856"/>
      <c r="J88" s="921">
        <v>180</v>
      </c>
      <c r="K88" s="827"/>
      <c r="L88" s="827"/>
      <c r="M88" s="827"/>
      <c r="N88" s="828"/>
    </row>
    <row r="89" spans="1:14" ht="19.5">
      <c r="A89" s="800" t="s">
        <v>577</v>
      </c>
      <c r="B89" s="800"/>
      <c r="C89" s="903"/>
      <c r="D89" s="806"/>
      <c r="E89" s="808"/>
      <c r="F89" s="815"/>
      <c r="G89" s="567"/>
      <c r="H89" s="567"/>
      <c r="I89" s="856">
        <f t="shared" si="3"/>
        <v>0</v>
      </c>
      <c r="J89" s="567"/>
      <c r="K89" s="558">
        <v>12</v>
      </c>
      <c r="L89" s="558">
        <v>13</v>
      </c>
      <c r="M89" s="558">
        <v>14</v>
      </c>
      <c r="N89" s="620">
        <v>15</v>
      </c>
    </row>
    <row r="90" spans="1:14" s="1032" customFormat="1" ht="19.5">
      <c r="A90" s="894" t="s">
        <v>541</v>
      </c>
      <c r="B90" s="902" t="s">
        <v>413</v>
      </c>
      <c r="C90" s="905">
        <v>27329</v>
      </c>
      <c r="D90" s="905">
        <f>+D92+D98+D104+D110+D116+D122</f>
        <v>26947.18</v>
      </c>
      <c r="E90" s="905">
        <f>+E92+E98+E104+E110+E116+E122</f>
        <v>26739.18</v>
      </c>
      <c r="F90" s="905">
        <f>+F92+F98+F104+F110+F116+F122</f>
        <v>26515.18</v>
      </c>
      <c r="G90" s="905">
        <f>+G92+G98+G104+G110+G116+G122</f>
        <v>26289.18</v>
      </c>
      <c r="H90" s="905">
        <f>+H92+H98+H104+H110+H116+H122</f>
        <v>26083.18</v>
      </c>
      <c r="I90" s="589"/>
      <c r="J90" s="1030">
        <v>449</v>
      </c>
      <c r="K90" s="1031">
        <f>E95+E101+E107+E113+E119+E125</f>
        <v>23645.800000000003</v>
      </c>
      <c r="L90" s="1031">
        <f>F95+F101+F107+F113+F119+F125</f>
        <v>24254.68</v>
      </c>
      <c r="M90" s="1031">
        <f>G95+G101+G107+G113+G119+G125</f>
        <v>23937.68</v>
      </c>
      <c r="N90" s="1031">
        <f>H95+H101+H107+H113+H119+H125</f>
        <v>23549.18</v>
      </c>
    </row>
    <row r="91" spans="1:14" s="1032" customFormat="1" ht="19.5">
      <c r="A91" s="894" t="s">
        <v>566</v>
      </c>
      <c r="B91" s="902" t="s">
        <v>538</v>
      </c>
      <c r="C91" s="905">
        <v>20352</v>
      </c>
      <c r="D91" s="905">
        <f>+D97+D103+D109+D115+D127</f>
        <v>51864.33</v>
      </c>
      <c r="E91" s="905">
        <f>+E97+E103+E109+E115+E127</f>
        <v>59092.73</v>
      </c>
      <c r="F91" s="905">
        <f>+F97+F103+F109+F115+F127</f>
        <v>65113.799999999996</v>
      </c>
      <c r="G91" s="905">
        <f>+G97+G103+G109+G115+G127</f>
        <v>64652.99999999999</v>
      </c>
      <c r="H91" s="905">
        <f>+H97+H103+H109+H115+H127</f>
        <v>64292.899999999994</v>
      </c>
      <c r="I91" s="589">
        <f t="shared" si="3"/>
        <v>43940.899999999994</v>
      </c>
      <c r="J91" s="1030"/>
      <c r="K91" s="1031"/>
      <c r="L91" s="1031"/>
      <c r="M91" s="1031"/>
      <c r="N91" s="1031"/>
    </row>
    <row r="92" spans="1:13" s="1032" customFormat="1" ht="19.5">
      <c r="A92" s="1033" t="s">
        <v>578</v>
      </c>
      <c r="B92" s="902"/>
      <c r="C92" s="906">
        <v>16355</v>
      </c>
      <c r="D92" s="894">
        <f>+'[6]Sheet4'!D80</f>
        <v>16068.9</v>
      </c>
      <c r="E92" s="894">
        <f>+'[6]Sheet4'!E80</f>
        <v>15963.9</v>
      </c>
      <c r="F92" s="894">
        <f>+'[6]Sheet4'!F80</f>
        <v>15848.9</v>
      </c>
      <c r="G92" s="894">
        <f>+'[6]Sheet4'!G80</f>
        <v>15733.9</v>
      </c>
      <c r="H92" s="894">
        <f>+'[6]Sheet4'!H80</f>
        <v>15645.9</v>
      </c>
      <c r="I92" s="589"/>
      <c r="J92" s="570">
        <v>356</v>
      </c>
      <c r="K92" s="572"/>
      <c r="L92" s="572"/>
      <c r="M92" s="572"/>
    </row>
    <row r="93" spans="1:13" s="1032" customFormat="1" ht="18.75">
      <c r="A93" s="899" t="s">
        <v>551</v>
      </c>
      <c r="B93" s="900" t="s">
        <v>413</v>
      </c>
      <c r="C93" s="899">
        <v>130.4</v>
      </c>
      <c r="D93" s="899">
        <f>+'[6]Sheet4'!D81</f>
        <v>16188.9</v>
      </c>
      <c r="E93" s="899">
        <f>+'[6]Sheet4'!E81</f>
        <v>16068.9</v>
      </c>
      <c r="F93" s="899">
        <f>+'[6]Sheet4'!F81</f>
        <v>15963.9</v>
      </c>
      <c r="G93" s="899">
        <f>+'[6]Sheet4'!G81</f>
        <v>15848.9</v>
      </c>
      <c r="H93" s="899">
        <f>+'[6]Sheet4'!H81</f>
        <v>15733.9</v>
      </c>
      <c r="I93" s="589">
        <f t="shared" si="3"/>
        <v>15603.5</v>
      </c>
      <c r="J93" s="570"/>
      <c r="K93" s="572"/>
      <c r="L93" s="572"/>
      <c r="M93" s="572"/>
    </row>
    <row r="94" spans="1:13" s="1032" customFormat="1" ht="18.75">
      <c r="A94" s="899" t="s">
        <v>579</v>
      </c>
      <c r="B94" s="900" t="s">
        <v>413</v>
      </c>
      <c r="C94" s="899"/>
      <c r="D94" s="899">
        <f>+'[6]Sheet4'!D82</f>
        <v>-120</v>
      </c>
      <c r="E94" s="899">
        <f>+'[6]Sheet4'!E82</f>
        <v>-105</v>
      </c>
      <c r="F94" s="899">
        <f>+'[6]Sheet4'!F82</f>
        <v>-115</v>
      </c>
      <c r="G94" s="899">
        <f>+'[6]Sheet4'!G82</f>
        <v>-115</v>
      </c>
      <c r="H94" s="899">
        <f>+'[6]Sheet4'!H82</f>
        <v>-88</v>
      </c>
      <c r="I94" s="589"/>
      <c r="J94" s="570">
        <v>88</v>
      </c>
      <c r="K94" s="572"/>
      <c r="L94" s="572"/>
      <c r="M94" s="572"/>
    </row>
    <row r="95" spans="1:13" s="1032" customFormat="1" ht="18.75">
      <c r="A95" s="899" t="s">
        <v>580</v>
      </c>
      <c r="B95" s="900" t="s">
        <v>413</v>
      </c>
      <c r="C95" s="899">
        <v>13803.060000000001</v>
      </c>
      <c r="D95" s="899">
        <f>+'[6]Sheet4'!D83</f>
        <v>14598.4</v>
      </c>
      <c r="E95" s="899">
        <f>+'[6]Sheet4'!E83</f>
        <v>16068.9</v>
      </c>
      <c r="F95" s="899">
        <f>+'[6]Sheet4'!F83</f>
        <v>15963.9</v>
      </c>
      <c r="G95" s="899">
        <f>+'[6]Sheet4'!G83</f>
        <v>15848.9</v>
      </c>
      <c r="H95" s="899">
        <f>+'[6]Sheet4'!H83</f>
        <v>15645.9</v>
      </c>
      <c r="I95" s="589">
        <f t="shared" si="3"/>
        <v>1842.8399999999983</v>
      </c>
      <c r="J95" s="570"/>
      <c r="K95" s="572"/>
      <c r="L95" s="572"/>
      <c r="M95" s="572"/>
    </row>
    <row r="96" spans="1:13" s="1032" customFormat="1" ht="18.75">
      <c r="A96" s="1034" t="s">
        <v>581</v>
      </c>
      <c r="B96" s="901" t="s">
        <v>546</v>
      </c>
      <c r="C96" s="907">
        <v>2.5</v>
      </c>
      <c r="D96" s="907">
        <f>+'[6]Sheet4'!D84</f>
        <v>2.520079597764139</v>
      </c>
      <c r="E96" s="907">
        <v>2.7</v>
      </c>
      <c r="F96" s="907">
        <v>3</v>
      </c>
      <c r="G96" s="907">
        <v>3</v>
      </c>
      <c r="H96" s="907">
        <v>3</v>
      </c>
      <c r="I96" s="589">
        <f t="shared" si="3"/>
        <v>0.5</v>
      </c>
      <c r="J96" s="570"/>
      <c r="K96" s="572"/>
      <c r="L96" s="572"/>
      <c r="M96" s="572"/>
    </row>
    <row r="97" spans="1:13" s="1032" customFormat="1" ht="18.75">
      <c r="A97" s="1035" t="s">
        <v>547</v>
      </c>
      <c r="B97" s="901" t="s">
        <v>538</v>
      </c>
      <c r="C97" s="899">
        <f aca="true" t="shared" si="4" ref="C97:H97">C96*C95</f>
        <v>34507.65</v>
      </c>
      <c r="D97" s="899">
        <f t="shared" si="4"/>
        <v>36789.130000000005</v>
      </c>
      <c r="E97" s="899">
        <f t="shared" si="4"/>
        <v>43386.03</v>
      </c>
      <c r="F97" s="899">
        <f t="shared" si="4"/>
        <v>47891.7</v>
      </c>
      <c r="G97" s="899">
        <f t="shared" si="4"/>
        <v>47546.7</v>
      </c>
      <c r="H97" s="899">
        <f t="shared" si="4"/>
        <v>46937.7</v>
      </c>
      <c r="I97" s="589">
        <f t="shared" si="3"/>
        <v>12430.049999999996</v>
      </c>
      <c r="J97" s="570"/>
      <c r="K97" s="572"/>
      <c r="L97" s="572"/>
      <c r="M97" s="572"/>
    </row>
    <row r="98" spans="1:13" ht="19.5">
      <c r="A98" s="824" t="s">
        <v>582</v>
      </c>
      <c r="B98" s="801"/>
      <c r="C98" s="894">
        <v>398.9</v>
      </c>
      <c r="D98" s="802">
        <f>+'[6]Sheet4'!D86</f>
        <v>600</v>
      </c>
      <c r="E98" s="802">
        <f>+'[6]Sheet4'!E86</f>
        <v>694</v>
      </c>
      <c r="F98" s="802">
        <f>+'[6]Sheet4'!F86</f>
        <v>788</v>
      </c>
      <c r="G98" s="802">
        <f>+'[6]Sheet4'!G86</f>
        <v>881</v>
      </c>
      <c r="H98" s="802">
        <f>+'[6]Sheet4'!H86</f>
        <v>960</v>
      </c>
      <c r="I98" s="856">
        <f t="shared" si="3"/>
        <v>561.1</v>
      </c>
      <c r="J98" s="567"/>
      <c r="K98" s="558"/>
      <c r="L98" s="558"/>
      <c r="M98" s="558"/>
    </row>
    <row r="99" spans="1:13" ht="18.75">
      <c r="A99" s="807" t="s">
        <v>551</v>
      </c>
      <c r="B99" s="813" t="s">
        <v>413</v>
      </c>
      <c r="C99" s="899"/>
      <c r="D99" s="807">
        <f>+'[6]Sheet4'!D87</f>
        <v>504</v>
      </c>
      <c r="E99" s="807">
        <f>+'[6]Sheet4'!E87</f>
        <v>600</v>
      </c>
      <c r="F99" s="807">
        <f>+'[6]Sheet4'!F87</f>
        <v>694</v>
      </c>
      <c r="G99" s="807">
        <f>+'[6]Sheet4'!G87</f>
        <v>788</v>
      </c>
      <c r="H99" s="807">
        <f>+'[6]Sheet4'!H87</f>
        <v>881</v>
      </c>
      <c r="I99" s="856">
        <f t="shared" si="3"/>
        <v>881</v>
      </c>
      <c r="J99" s="567"/>
      <c r="K99" s="558"/>
      <c r="L99" s="558"/>
      <c r="M99" s="558"/>
    </row>
    <row r="100" spans="1:13" ht="18.75">
      <c r="A100" s="807" t="s">
        <v>579</v>
      </c>
      <c r="B100" s="813" t="s">
        <v>413</v>
      </c>
      <c r="C100" s="899">
        <v>43</v>
      </c>
      <c r="D100" s="807">
        <f>+'[6]Sheet4'!D88</f>
        <v>96</v>
      </c>
      <c r="E100" s="807">
        <f>+'[6]Sheet4'!E88</f>
        <v>94</v>
      </c>
      <c r="F100" s="807">
        <f>+'[6]Sheet4'!F88</f>
        <v>94</v>
      </c>
      <c r="G100" s="807">
        <f>+'[6]Sheet4'!G88</f>
        <v>93</v>
      </c>
      <c r="H100" s="807">
        <f>+'[6]Sheet4'!H88</f>
        <v>79</v>
      </c>
      <c r="I100" s="856">
        <f t="shared" si="3"/>
        <v>36</v>
      </c>
      <c r="J100" s="567"/>
      <c r="K100" s="558"/>
      <c r="L100" s="558"/>
      <c r="M100" s="558"/>
    </row>
    <row r="101" spans="1:13" ht="18.75">
      <c r="A101" s="807" t="s">
        <v>580</v>
      </c>
      <c r="B101" s="813" t="s">
        <v>413</v>
      </c>
      <c r="C101" s="899">
        <v>282.4</v>
      </c>
      <c r="D101" s="807">
        <v>401</v>
      </c>
      <c r="E101" s="807">
        <v>437</v>
      </c>
      <c r="F101" s="807">
        <v>533</v>
      </c>
      <c r="G101" s="807">
        <v>627</v>
      </c>
      <c r="H101" s="807">
        <v>721</v>
      </c>
      <c r="I101" s="856">
        <f t="shared" si="3"/>
        <v>438.6</v>
      </c>
      <c r="J101" s="567"/>
      <c r="K101" s="558"/>
      <c r="L101" s="558"/>
      <c r="M101" s="558"/>
    </row>
    <row r="102" spans="1:13" ht="18.75">
      <c r="A102" s="829" t="s">
        <v>581</v>
      </c>
      <c r="B102" s="817" t="s">
        <v>546</v>
      </c>
      <c r="C102" s="907">
        <v>2.315958178127452</v>
      </c>
      <c r="D102" s="818">
        <f>+'[6]Sheet4'!D90</f>
        <v>2.4581047381546135</v>
      </c>
      <c r="E102" s="818">
        <f>+'[6]Sheet4'!E90</f>
        <v>2.4606407322654467</v>
      </c>
      <c r="F102" s="818">
        <f>+'[6]Sheet4'!F90</f>
        <v>2.5517823639774866</v>
      </c>
      <c r="G102" s="818">
        <f>+'[6]Sheet4'!G90</f>
        <v>2.5545454545454547</v>
      </c>
      <c r="H102" s="818">
        <f>+'[6]Sheet4'!H90</f>
        <v>2.6618585298196944</v>
      </c>
      <c r="I102" s="856">
        <f t="shared" si="3"/>
        <v>0.3459003516922423</v>
      </c>
      <c r="J102" s="567"/>
      <c r="K102" s="558"/>
      <c r="L102" s="558"/>
      <c r="M102" s="558"/>
    </row>
    <row r="103" spans="1:13" ht="18.75">
      <c r="A103" s="830" t="s">
        <v>547</v>
      </c>
      <c r="B103" s="817" t="s">
        <v>538</v>
      </c>
      <c r="C103" s="901">
        <v>656.52</v>
      </c>
      <c r="D103" s="807">
        <f>+'[6]Sheet4'!D91</f>
        <v>985.7</v>
      </c>
      <c r="E103" s="807">
        <f>+'[6]Sheet4'!E91</f>
        <v>1075.3000000000002</v>
      </c>
      <c r="F103" s="807">
        <f>+'[6]Sheet4'!F91</f>
        <v>1360.1000000000004</v>
      </c>
      <c r="G103" s="807">
        <f>+'[6]Sheet4'!G91</f>
        <v>1601.7</v>
      </c>
      <c r="H103" s="807">
        <f>+'[6]Sheet4'!H91</f>
        <v>1919.1999999999998</v>
      </c>
      <c r="I103" s="856">
        <f t="shared" si="3"/>
        <v>1262.6799999999998</v>
      </c>
      <c r="J103" s="567"/>
      <c r="K103" s="558"/>
      <c r="L103" s="558"/>
      <c r="M103" s="558"/>
    </row>
    <row r="104" spans="1:13" ht="19.5">
      <c r="A104" s="824" t="s">
        <v>583</v>
      </c>
      <c r="B104" s="801"/>
      <c r="C104" s="908">
        <v>5751.8</v>
      </c>
      <c r="D104" s="802">
        <f>+'[6]Sheet4'!D92</f>
        <v>6039.5</v>
      </c>
      <c r="E104" s="802">
        <f>+'[6]Sheet4'!E92</f>
        <v>6139.5</v>
      </c>
      <c r="F104" s="802">
        <f>+'[6]Sheet4'!F92</f>
        <v>6239.5</v>
      </c>
      <c r="G104" s="802">
        <f>+'[6]Sheet4'!G92</f>
        <v>6339.5</v>
      </c>
      <c r="H104" s="802">
        <f>+'[6]Sheet4'!H92</f>
        <v>6439.5</v>
      </c>
      <c r="I104" s="856">
        <f t="shared" si="3"/>
        <v>687.6999999999998</v>
      </c>
      <c r="J104" s="567"/>
      <c r="K104" s="558"/>
      <c r="L104" s="558"/>
      <c r="M104" s="558"/>
    </row>
    <row r="105" spans="1:13" ht="18.75">
      <c r="A105" s="807" t="s">
        <v>551</v>
      </c>
      <c r="B105" s="813" t="s">
        <v>413</v>
      </c>
      <c r="C105" s="900"/>
      <c r="D105" s="807">
        <f>+'[6]Sheet4'!D93</f>
        <v>5939.5</v>
      </c>
      <c r="E105" s="807">
        <f>+'[6]Sheet4'!E93</f>
        <v>6039.5</v>
      </c>
      <c r="F105" s="807">
        <f>+'[6]Sheet4'!F93</f>
        <v>6139.5</v>
      </c>
      <c r="G105" s="807">
        <f>+'[6]Sheet4'!G93</f>
        <v>6239.5</v>
      </c>
      <c r="H105" s="807">
        <f>+'[6]Sheet4'!H93</f>
        <v>6339.5</v>
      </c>
      <c r="I105" s="856">
        <f t="shared" si="3"/>
        <v>6339.5</v>
      </c>
      <c r="J105" s="567"/>
      <c r="K105" s="558"/>
      <c r="L105" s="558"/>
      <c r="M105" s="558"/>
    </row>
    <row r="106" spans="1:13" ht="18.75">
      <c r="A106" s="807" t="s">
        <v>579</v>
      </c>
      <c r="B106" s="813" t="s">
        <v>413</v>
      </c>
      <c r="C106" s="900">
        <v>219</v>
      </c>
      <c r="D106" s="807">
        <f>+'[6]Sheet4'!D94</f>
        <v>100</v>
      </c>
      <c r="E106" s="807">
        <f>+'[6]Sheet4'!E94</f>
        <v>100</v>
      </c>
      <c r="F106" s="807">
        <f>+'[6]Sheet4'!F94</f>
        <v>100</v>
      </c>
      <c r="G106" s="807">
        <f>+'[6]Sheet4'!G94</f>
        <v>100</v>
      </c>
      <c r="H106" s="807">
        <f>+'[6]Sheet4'!H94</f>
        <v>100</v>
      </c>
      <c r="I106" s="856"/>
      <c r="J106" s="567">
        <v>119</v>
      </c>
      <c r="K106" s="558"/>
      <c r="L106" s="558"/>
      <c r="M106" s="558"/>
    </row>
    <row r="107" spans="1:13" ht="18.75">
      <c r="A107" s="807" t="s">
        <v>580</v>
      </c>
      <c r="B107" s="813" t="s">
        <v>413</v>
      </c>
      <c r="C107" s="900">
        <v>1887.4</v>
      </c>
      <c r="D107" s="807">
        <f>+'[6]Sheet4'!D95</f>
        <v>3129</v>
      </c>
      <c r="E107" s="807">
        <f>+'[6]Sheet4'!E95</f>
        <v>3414</v>
      </c>
      <c r="F107" s="807">
        <f>+'[6]Sheet4'!F95</f>
        <v>3816</v>
      </c>
      <c r="G107" s="807">
        <f>+'[6]Sheet4'!G95</f>
        <v>3816</v>
      </c>
      <c r="H107" s="807">
        <f>+'[6]Sheet4'!H95</f>
        <v>4199.5</v>
      </c>
      <c r="I107" s="856">
        <f t="shared" si="3"/>
        <v>2312.1</v>
      </c>
      <c r="J107" s="567"/>
      <c r="K107" s="558"/>
      <c r="L107" s="558"/>
      <c r="M107" s="558"/>
    </row>
    <row r="108" spans="1:13" ht="18.75">
      <c r="A108" s="829" t="s">
        <v>581</v>
      </c>
      <c r="B108" s="817"/>
      <c r="C108" s="901">
        <v>2.0463670380845334</v>
      </c>
      <c r="D108" s="818">
        <f>+D109/D107</f>
        <v>2.202013422818792</v>
      </c>
      <c r="E108" s="818">
        <f>+E109/E107</f>
        <v>2.193907439953134</v>
      </c>
      <c r="F108" s="818">
        <f>+F109/F107</f>
        <v>2.180293501048218</v>
      </c>
      <c r="G108" s="818">
        <f>+G109/G107</f>
        <v>2.180293501048218</v>
      </c>
      <c r="H108" s="818">
        <f>+H109/H107</f>
        <v>2.171448982021669</v>
      </c>
      <c r="I108" s="856">
        <f t="shared" si="3"/>
        <v>0.1250819439371358</v>
      </c>
      <c r="J108" s="567"/>
      <c r="K108" s="558"/>
      <c r="L108" s="558"/>
      <c r="M108" s="558"/>
    </row>
    <row r="109" spans="1:13" ht="18.75">
      <c r="A109" s="830" t="s">
        <v>547</v>
      </c>
      <c r="B109" s="817" t="s">
        <v>538</v>
      </c>
      <c r="C109" s="901">
        <v>3966.8079999999995</v>
      </c>
      <c r="D109" s="807">
        <f>+'[6]Sheet4'!D97</f>
        <v>6890.099999999999</v>
      </c>
      <c r="E109" s="807">
        <v>7490</v>
      </c>
      <c r="F109" s="807">
        <v>8320</v>
      </c>
      <c r="G109" s="807">
        <v>8320</v>
      </c>
      <c r="H109" s="807">
        <v>9119</v>
      </c>
      <c r="I109" s="856">
        <f t="shared" si="3"/>
        <v>5152.192000000001</v>
      </c>
      <c r="J109" s="567"/>
      <c r="K109" s="558"/>
      <c r="L109" s="558"/>
      <c r="M109" s="558"/>
    </row>
    <row r="110" spans="1:13" ht="19.5">
      <c r="A110" s="825" t="s">
        <v>584</v>
      </c>
      <c r="B110" s="801"/>
      <c r="C110" s="902">
        <v>3714.6</v>
      </c>
      <c r="D110" s="802">
        <f>+'[6]Sheet4'!D98</f>
        <v>3310</v>
      </c>
      <c r="E110" s="802">
        <f>+'[6]Sheet4'!E98</f>
        <v>2953</v>
      </c>
      <c r="F110" s="802">
        <f>+'[6]Sheet4'!F98</f>
        <v>2590</v>
      </c>
      <c r="G110" s="802">
        <f>+'[6]Sheet4'!G98</f>
        <v>2226</v>
      </c>
      <c r="H110" s="802">
        <f>+'[6]Sheet4'!H98</f>
        <v>1867</v>
      </c>
      <c r="I110" s="856"/>
      <c r="J110" s="567">
        <v>1848</v>
      </c>
      <c r="K110" s="558"/>
      <c r="L110" s="558"/>
      <c r="M110" s="558"/>
    </row>
    <row r="111" spans="1:13" ht="18.75">
      <c r="A111" s="807" t="s">
        <v>551</v>
      </c>
      <c r="B111" s="813" t="s">
        <v>413</v>
      </c>
      <c r="C111" s="900">
        <v>3682</v>
      </c>
      <c r="D111" s="807">
        <f>+'[6]Sheet4'!D99</f>
        <v>3651</v>
      </c>
      <c r="E111" s="807">
        <f>+'[6]Sheet4'!E99</f>
        <v>3310</v>
      </c>
      <c r="F111" s="807">
        <f>+'[6]Sheet4'!F99</f>
        <v>2953</v>
      </c>
      <c r="G111" s="807">
        <f>+'[6]Sheet4'!G99</f>
        <v>2590</v>
      </c>
      <c r="H111" s="807">
        <f>+'[6]Sheet4'!H99</f>
        <v>2226</v>
      </c>
      <c r="I111" s="856"/>
      <c r="J111" s="567">
        <v>1456</v>
      </c>
      <c r="K111" s="558"/>
      <c r="L111" s="558"/>
      <c r="M111" s="558"/>
    </row>
    <row r="112" spans="1:13" ht="18.75">
      <c r="A112" s="807" t="s">
        <v>579</v>
      </c>
      <c r="B112" s="813" t="s">
        <v>413</v>
      </c>
      <c r="C112" s="900">
        <v>-33.4</v>
      </c>
      <c r="D112" s="807">
        <f>+'[6]Sheet4'!D100</f>
        <v>-341</v>
      </c>
      <c r="E112" s="807">
        <f>+'[6]Sheet4'!E100</f>
        <v>-357</v>
      </c>
      <c r="F112" s="807">
        <f>+'[6]Sheet4'!F100</f>
        <v>-363</v>
      </c>
      <c r="G112" s="807">
        <f>+'[6]Sheet4'!G100</f>
        <v>-364</v>
      </c>
      <c r="H112" s="807">
        <f>+'[6]Sheet4'!H100</f>
        <v>-359</v>
      </c>
      <c r="I112" s="856"/>
      <c r="J112" s="567">
        <v>326</v>
      </c>
      <c r="K112" s="558"/>
      <c r="L112" s="558"/>
      <c r="M112" s="558"/>
    </row>
    <row r="113" spans="1:13" ht="18.75">
      <c r="A113" s="807" t="s">
        <v>580</v>
      </c>
      <c r="B113" s="813" t="s">
        <v>413</v>
      </c>
      <c r="C113" s="900">
        <v>3736.7</v>
      </c>
      <c r="D113" s="807">
        <f>+'[6]Sheet4'!D101</f>
        <v>3651</v>
      </c>
      <c r="E113" s="807">
        <f>+'[6]Sheet4'!E101</f>
        <v>3310</v>
      </c>
      <c r="F113" s="807">
        <f>+'[6]Sheet4'!F101</f>
        <v>2953</v>
      </c>
      <c r="G113" s="807">
        <f>+'[6]Sheet4'!G101</f>
        <v>2590</v>
      </c>
      <c r="H113" s="807">
        <f>+'[6]Sheet4'!H101</f>
        <v>1867</v>
      </c>
      <c r="I113" s="856"/>
      <c r="J113" s="567">
        <v>1870</v>
      </c>
      <c r="K113" s="558"/>
      <c r="L113" s="558"/>
      <c r="M113" s="558"/>
    </row>
    <row r="114" spans="1:13" ht="18.75">
      <c r="A114" s="829" t="s">
        <v>581</v>
      </c>
      <c r="B114" s="817" t="s">
        <v>546</v>
      </c>
      <c r="C114" s="901">
        <v>0.9728195271640928</v>
      </c>
      <c r="D114" s="818">
        <f>+'[6]Sheet4'!D102</f>
        <v>1.0131470829909615</v>
      </c>
      <c r="E114" s="818">
        <f>+'[6]Sheet4'!E102</f>
        <v>1.1</v>
      </c>
      <c r="F114" s="818">
        <f>+'[6]Sheet4'!F102</f>
        <v>1.2000000000000002</v>
      </c>
      <c r="G114" s="818">
        <f>+'[6]Sheet4'!G102</f>
        <v>1.2</v>
      </c>
      <c r="H114" s="818">
        <f>+'[6]Sheet4'!H102</f>
        <v>1.2</v>
      </c>
      <c r="I114" s="856">
        <f t="shared" si="3"/>
        <v>0.22718047283590714</v>
      </c>
      <c r="J114" s="567"/>
      <c r="K114" s="558"/>
      <c r="L114" s="558"/>
      <c r="M114" s="558"/>
    </row>
    <row r="115" spans="1:13" ht="18.75">
      <c r="A115" s="830" t="s">
        <v>547</v>
      </c>
      <c r="B115" s="817" t="s">
        <v>538</v>
      </c>
      <c r="C115" s="901">
        <v>3634.8</v>
      </c>
      <c r="D115" s="807">
        <f>+'[6]Sheet4'!D103</f>
        <v>3699</v>
      </c>
      <c r="E115" s="807">
        <f>+'[6]Sheet4'!E103</f>
        <v>3641</v>
      </c>
      <c r="F115" s="807">
        <f>+'[6]Sheet4'!F103</f>
        <v>3543.6000000000004</v>
      </c>
      <c r="G115" s="807">
        <f>+'[6]Sheet4'!G103</f>
        <v>3108</v>
      </c>
      <c r="H115" s="807">
        <f>+'[6]Sheet4'!H103</f>
        <v>2240.4</v>
      </c>
      <c r="I115" s="856"/>
      <c r="J115" s="567">
        <v>1394</v>
      </c>
      <c r="K115" s="558"/>
      <c r="L115" s="558"/>
      <c r="M115" s="558"/>
    </row>
    <row r="116" spans="1:13" ht="19.5">
      <c r="A116" s="825" t="s">
        <v>585</v>
      </c>
      <c r="B116" s="801" t="s">
        <v>413</v>
      </c>
      <c r="C116" s="902">
        <v>280.4</v>
      </c>
      <c r="D116" s="802">
        <f>+'[6]Sheet4'!D104</f>
        <v>471</v>
      </c>
      <c r="E116" s="802">
        <f>+'[6]Sheet4'!E104</f>
        <v>521</v>
      </c>
      <c r="F116" s="802">
        <f>+'[6]Sheet4'!F104</f>
        <v>571</v>
      </c>
      <c r="G116" s="802">
        <f>+'[6]Sheet4'!G104</f>
        <v>621</v>
      </c>
      <c r="H116" s="802">
        <f>+'[6]Sheet4'!H104</f>
        <v>671</v>
      </c>
      <c r="I116" s="856">
        <f t="shared" si="3"/>
        <v>390.6</v>
      </c>
      <c r="J116" s="567"/>
      <c r="K116" s="558"/>
      <c r="L116" s="558"/>
      <c r="M116" s="558"/>
    </row>
    <row r="117" spans="1:13" ht="18.75">
      <c r="A117" s="807" t="s">
        <v>551</v>
      </c>
      <c r="B117" s="813" t="s">
        <v>413</v>
      </c>
      <c r="C117" s="900"/>
      <c r="D117" s="807">
        <f>+'[6]Sheet4'!D105</f>
        <v>414</v>
      </c>
      <c r="E117" s="807">
        <f>+'[6]Sheet4'!E105</f>
        <v>471</v>
      </c>
      <c r="F117" s="807">
        <f>+'[6]Sheet4'!F105</f>
        <v>521</v>
      </c>
      <c r="G117" s="807">
        <f>+'[6]Sheet4'!G105</f>
        <v>571</v>
      </c>
      <c r="H117" s="807">
        <f>+'[6]Sheet4'!H105</f>
        <v>621</v>
      </c>
      <c r="I117" s="856">
        <f t="shared" si="3"/>
        <v>621</v>
      </c>
      <c r="J117" s="567"/>
      <c r="K117" s="558"/>
      <c r="L117" s="558"/>
      <c r="M117" s="558"/>
    </row>
    <row r="118" spans="1:13" ht="18.75">
      <c r="A118" s="807" t="s">
        <v>579</v>
      </c>
      <c r="B118" s="813" t="s">
        <v>413</v>
      </c>
      <c r="C118" s="909">
        <v>102.2</v>
      </c>
      <c r="D118" s="807">
        <f>+'[6]Sheet4'!D106</f>
        <v>57</v>
      </c>
      <c r="E118" s="807">
        <f>+'[6]Sheet4'!E106</f>
        <v>50</v>
      </c>
      <c r="F118" s="807">
        <f>+'[6]Sheet4'!F106</f>
        <v>50</v>
      </c>
      <c r="G118" s="807">
        <f>+'[6]Sheet4'!G106</f>
        <v>50</v>
      </c>
      <c r="H118" s="807">
        <f>+'[6]Sheet4'!H106</f>
        <v>50</v>
      </c>
      <c r="I118" s="856"/>
      <c r="J118" s="567">
        <v>52</v>
      </c>
      <c r="K118" s="558"/>
      <c r="L118" s="558"/>
      <c r="M118" s="558"/>
    </row>
    <row r="119" spans="1:13" ht="18.75">
      <c r="A119" s="807" t="s">
        <v>580</v>
      </c>
      <c r="B119" s="813" t="s">
        <v>413</v>
      </c>
      <c r="C119" s="909">
        <v>57.96</v>
      </c>
      <c r="D119" s="807">
        <f>+'[6]Sheet4'!D107</f>
        <v>56.9</v>
      </c>
      <c r="E119" s="807">
        <f>+'[6]Sheet4'!E107</f>
        <v>56.9</v>
      </c>
      <c r="F119" s="807">
        <f>+'[6]Sheet4'!F107</f>
        <v>521</v>
      </c>
      <c r="G119" s="807">
        <f>+'[6]Sheet4'!G107</f>
        <v>578</v>
      </c>
      <c r="H119" s="807">
        <f>+'[6]Sheet4'!H107</f>
        <v>628</v>
      </c>
      <c r="I119" s="856">
        <f t="shared" si="3"/>
        <v>570.04</v>
      </c>
      <c r="J119" s="567"/>
      <c r="K119" s="558"/>
      <c r="L119" s="558"/>
      <c r="M119" s="558"/>
    </row>
    <row r="120" spans="1:13" ht="18.75">
      <c r="A120" s="829" t="s">
        <v>581</v>
      </c>
      <c r="B120" s="817" t="s">
        <v>546</v>
      </c>
      <c r="C120" s="910">
        <v>1.35512729844413</v>
      </c>
      <c r="D120" s="818">
        <f>+'[6]Sheet4'!D108</f>
        <v>1</v>
      </c>
      <c r="E120" s="818">
        <f>+'[6]Sheet4'!E108</f>
        <v>1</v>
      </c>
      <c r="F120" s="818">
        <f>+'[6]Sheet4'!F108</f>
        <v>1.0197696737044146</v>
      </c>
      <c r="G120" s="818">
        <f>+'[6]Sheet4'!G108</f>
        <v>1.1</v>
      </c>
      <c r="H120" s="818">
        <f>+'[6]Sheet4'!H108</f>
        <v>1.0597133757961783</v>
      </c>
      <c r="I120" s="856"/>
      <c r="J120" s="567"/>
      <c r="K120" s="558"/>
      <c r="L120" s="558"/>
      <c r="M120" s="558"/>
    </row>
    <row r="121" spans="1:13" ht="18.75">
      <c r="A121" s="830" t="s">
        <v>547</v>
      </c>
      <c r="B121" s="817" t="s">
        <v>538</v>
      </c>
      <c r="C121" s="910">
        <v>78.66</v>
      </c>
      <c r="D121" s="807">
        <f>+'[6]Sheet4'!D109</f>
        <v>56.9</v>
      </c>
      <c r="E121" s="807">
        <f>+'[6]Sheet4'!E109</f>
        <v>56.9</v>
      </c>
      <c r="F121" s="807">
        <f>+'[6]Sheet4'!F109</f>
        <v>531.3000000000001</v>
      </c>
      <c r="G121" s="807">
        <f>+'[6]Sheet4'!G109</f>
        <v>635.8000000000001</v>
      </c>
      <c r="H121" s="807">
        <f>+'[6]Sheet4'!H109</f>
        <v>665.5</v>
      </c>
      <c r="I121" s="856">
        <f t="shared" si="3"/>
        <v>586.84</v>
      </c>
      <c r="J121" s="567"/>
      <c r="K121" s="558"/>
      <c r="L121" s="558"/>
      <c r="M121" s="558"/>
    </row>
    <row r="122" spans="1:13" ht="19.5">
      <c r="A122" s="825" t="s">
        <v>586</v>
      </c>
      <c r="B122" s="801" t="s">
        <v>413</v>
      </c>
      <c r="C122" s="906">
        <v>384.54</v>
      </c>
      <c r="D122" s="802">
        <f>+'[6]Sheet4'!D110</f>
        <v>457.78</v>
      </c>
      <c r="E122" s="802">
        <f>+'[6]Sheet4'!E110</f>
        <v>467.78</v>
      </c>
      <c r="F122" s="802">
        <f>+'[6]Sheet4'!F110</f>
        <v>477.78</v>
      </c>
      <c r="G122" s="802">
        <f>+'[6]Sheet4'!G110</f>
        <v>487.78</v>
      </c>
      <c r="H122" s="802">
        <f>+'[6]Sheet4'!H110</f>
        <v>499.78</v>
      </c>
      <c r="I122" s="856">
        <f t="shared" si="3"/>
        <v>115.23999999999995</v>
      </c>
      <c r="J122" s="567"/>
      <c r="K122" s="558"/>
      <c r="L122" s="558"/>
      <c r="M122" s="558"/>
    </row>
    <row r="123" spans="1:13" ht="18.75">
      <c r="A123" s="807" t="s">
        <v>551</v>
      </c>
      <c r="B123" s="813" t="s">
        <v>413</v>
      </c>
      <c r="C123" s="900"/>
      <c r="D123" s="807">
        <f>+'[6]Sheet4'!D111</f>
        <v>447.78</v>
      </c>
      <c r="E123" s="807">
        <f>+'[6]Sheet4'!E111</f>
        <v>457.78</v>
      </c>
      <c r="F123" s="807">
        <f>+'[6]Sheet4'!F111</f>
        <v>467.78</v>
      </c>
      <c r="G123" s="807">
        <f>+'[6]Sheet4'!G111</f>
        <v>477.78</v>
      </c>
      <c r="H123" s="807">
        <f>+'[6]Sheet4'!H111</f>
        <v>487.78</v>
      </c>
      <c r="I123" s="856">
        <f t="shared" si="3"/>
        <v>487.78</v>
      </c>
      <c r="J123" s="567"/>
      <c r="K123" s="558"/>
      <c r="L123" s="558"/>
      <c r="M123" s="558"/>
    </row>
    <row r="124" spans="1:13" ht="18.75">
      <c r="A124" s="807" t="s">
        <v>579</v>
      </c>
      <c r="B124" s="813" t="s">
        <v>413</v>
      </c>
      <c r="C124" s="900">
        <v>29.8</v>
      </c>
      <c r="D124" s="807">
        <f>+'[6]Sheet4'!D112</f>
        <v>10</v>
      </c>
      <c r="E124" s="807">
        <f>+'[6]Sheet4'!E112</f>
        <v>10</v>
      </c>
      <c r="F124" s="807">
        <f>+'[6]Sheet4'!F112</f>
        <v>10</v>
      </c>
      <c r="G124" s="807">
        <f>+'[6]Sheet4'!G112</f>
        <v>10</v>
      </c>
      <c r="H124" s="807">
        <f>+'[6]Sheet4'!H112</f>
        <v>12</v>
      </c>
      <c r="I124" s="856"/>
      <c r="J124" s="567">
        <v>18</v>
      </c>
      <c r="K124" s="558"/>
      <c r="L124" s="558"/>
      <c r="M124" s="558"/>
    </row>
    <row r="125" spans="1:13" ht="18.75">
      <c r="A125" s="807" t="s">
        <v>580</v>
      </c>
      <c r="B125" s="813" t="s">
        <v>413</v>
      </c>
      <c r="C125" s="900">
        <v>280.2</v>
      </c>
      <c r="D125" s="807">
        <f>+'[6]Sheet4'!D113</f>
        <v>359</v>
      </c>
      <c r="E125" s="807">
        <f>+'[6]Sheet4'!E113</f>
        <v>359</v>
      </c>
      <c r="F125" s="807">
        <f>+'[6]Sheet4'!F113</f>
        <v>467.78</v>
      </c>
      <c r="G125" s="807">
        <f>+'[6]Sheet4'!G113</f>
        <v>477.78</v>
      </c>
      <c r="H125" s="807">
        <f>+'[6]Sheet4'!H113</f>
        <v>487.78</v>
      </c>
      <c r="I125" s="856">
        <f t="shared" si="3"/>
        <v>207.57999999999998</v>
      </c>
      <c r="J125" s="567"/>
      <c r="K125" s="558"/>
      <c r="L125" s="558"/>
      <c r="M125" s="558"/>
    </row>
    <row r="126" spans="1:13" ht="18.75">
      <c r="A126" s="829" t="s">
        <v>581</v>
      </c>
      <c r="B126" s="817" t="s">
        <v>546</v>
      </c>
      <c r="C126" s="901">
        <v>9.75487933872006</v>
      </c>
      <c r="D126" s="818">
        <f>+'[6]Sheet4'!D114</f>
        <v>9.750417827298051</v>
      </c>
      <c r="E126" s="818">
        <f>+'[6]Sheet4'!E114</f>
        <v>9.750417827298051</v>
      </c>
      <c r="F126" s="818">
        <f>+'[6]Sheet4'!F114</f>
        <v>9.752195121951221</v>
      </c>
      <c r="G126" s="818">
        <f>+'[6]Sheet4'!G114</f>
        <v>9.75263157894737</v>
      </c>
      <c r="H126" s="818">
        <f>+'[6]Sheet4'!H114</f>
        <v>9.75263157894737</v>
      </c>
      <c r="I126" s="856"/>
      <c r="J126" s="567"/>
      <c r="K126" s="558"/>
      <c r="L126" s="558"/>
      <c r="M126" s="558"/>
    </row>
    <row r="127" spans="1:13" ht="18.75">
      <c r="A127" s="830" t="s">
        <v>547</v>
      </c>
      <c r="B127" s="817" t="s">
        <v>538</v>
      </c>
      <c r="C127" s="901">
        <v>2733.6</v>
      </c>
      <c r="D127" s="807">
        <f>+'[6]Sheet4'!D115</f>
        <v>3500.4</v>
      </c>
      <c r="E127" s="807">
        <f>+'[6]Sheet4'!E115</f>
        <v>3500.4</v>
      </c>
      <c r="F127" s="807">
        <f>+'[6]Sheet4'!F115</f>
        <v>3998.4000000000005</v>
      </c>
      <c r="G127" s="807">
        <f>+'[6]Sheet4'!G115</f>
        <v>4076.6000000000004</v>
      </c>
      <c r="H127" s="807">
        <f>+'[6]Sheet4'!H115</f>
        <v>4076.6000000000004</v>
      </c>
      <c r="I127" s="856">
        <f t="shared" si="3"/>
        <v>1343.0000000000005</v>
      </c>
      <c r="J127" s="567"/>
      <c r="K127" s="558"/>
      <c r="L127" s="558"/>
      <c r="M127" s="558"/>
    </row>
    <row r="128" spans="1:10" ht="18.75">
      <c r="A128" s="563" t="s">
        <v>587</v>
      </c>
      <c r="B128" s="563"/>
      <c r="C128" s="581"/>
      <c r="D128" s="831"/>
      <c r="E128" s="627"/>
      <c r="F128" s="832"/>
      <c r="G128" s="831"/>
      <c r="H128" s="831"/>
      <c r="I128" s="856">
        <f t="shared" si="3"/>
        <v>0</v>
      </c>
      <c r="J128" s="831"/>
    </row>
    <row r="129" spans="1:10" ht="18.75">
      <c r="A129" s="622" t="s">
        <v>588</v>
      </c>
      <c r="B129" s="622" t="s">
        <v>452</v>
      </c>
      <c r="C129" s="911"/>
      <c r="D129" s="831"/>
      <c r="E129" s="627"/>
      <c r="F129" s="832"/>
      <c r="G129" s="831"/>
      <c r="H129" s="831"/>
      <c r="I129" s="856">
        <f t="shared" si="3"/>
        <v>0</v>
      </c>
      <c r="J129" s="831"/>
    </row>
    <row r="130" spans="1:10" ht="18.75">
      <c r="A130" s="561" t="s">
        <v>589</v>
      </c>
      <c r="B130" s="561" t="s">
        <v>452</v>
      </c>
      <c r="C130" s="569">
        <v>0.854</v>
      </c>
      <c r="D130" s="831">
        <v>0.65</v>
      </c>
      <c r="E130" s="831">
        <v>0.58</v>
      </c>
      <c r="F130" s="831">
        <v>0.466</v>
      </c>
      <c r="G130" s="831">
        <v>0.45</v>
      </c>
      <c r="H130" s="831">
        <v>0.41</v>
      </c>
      <c r="I130" s="856"/>
      <c r="J130" s="831"/>
    </row>
    <row r="131" spans="1:10" ht="18.75">
      <c r="A131" s="561" t="s">
        <v>590</v>
      </c>
      <c r="B131" s="561" t="s">
        <v>452</v>
      </c>
      <c r="C131" s="871">
        <v>3.4</v>
      </c>
      <c r="D131" s="833">
        <v>6</v>
      </c>
      <c r="E131" s="833">
        <v>11.9</v>
      </c>
      <c r="F131" s="833">
        <v>15.042</v>
      </c>
      <c r="G131" s="833">
        <v>17.298</v>
      </c>
      <c r="H131" s="833">
        <v>18</v>
      </c>
      <c r="I131" s="856">
        <f t="shared" si="3"/>
        <v>14.6</v>
      </c>
      <c r="J131" s="831"/>
    </row>
    <row r="132" spans="1:10" ht="18.75">
      <c r="A132" s="561" t="s">
        <v>591</v>
      </c>
      <c r="B132" s="561" t="s">
        <v>452</v>
      </c>
      <c r="C132" s="569">
        <v>2.26</v>
      </c>
      <c r="D132" s="831">
        <v>2.712</v>
      </c>
      <c r="E132" s="831">
        <v>3.254</v>
      </c>
      <c r="F132" s="831">
        <v>3.94</v>
      </c>
      <c r="G132" s="831">
        <v>4.255</v>
      </c>
      <c r="H132" s="831">
        <v>4.67</v>
      </c>
      <c r="I132" s="856">
        <f t="shared" si="3"/>
        <v>2.41</v>
      </c>
      <c r="J132" s="831"/>
    </row>
    <row r="133" spans="1:10" ht="18.75">
      <c r="A133" s="561" t="s">
        <v>592</v>
      </c>
      <c r="B133" s="561" t="s">
        <v>452</v>
      </c>
      <c r="C133" s="569">
        <v>54.116</v>
      </c>
      <c r="D133" s="831">
        <v>59.52</v>
      </c>
      <c r="E133" s="831">
        <v>62.496</v>
      </c>
      <c r="F133" s="831">
        <v>63.745</v>
      </c>
      <c r="G133" s="831">
        <v>64.508</v>
      </c>
      <c r="H133" s="833">
        <v>65</v>
      </c>
      <c r="I133" s="856">
        <f t="shared" si="3"/>
        <v>10.884</v>
      </c>
      <c r="J133" s="831"/>
    </row>
    <row r="134" spans="1:10" ht="18.75">
      <c r="A134" s="561" t="s">
        <v>593</v>
      </c>
      <c r="B134" s="561" t="s">
        <v>452</v>
      </c>
      <c r="C134" s="569">
        <v>370.092</v>
      </c>
      <c r="D134" s="831">
        <v>441</v>
      </c>
      <c r="E134" s="831">
        <v>449.82</v>
      </c>
      <c r="F134" s="831">
        <v>453.49</v>
      </c>
      <c r="G134" s="831">
        <v>457.578</v>
      </c>
      <c r="H134" s="831">
        <v>460</v>
      </c>
      <c r="I134" s="856">
        <f t="shared" si="3"/>
        <v>89.90800000000002</v>
      </c>
      <c r="J134" s="831"/>
    </row>
    <row r="135" spans="1:10" ht="18.75">
      <c r="A135" s="625" t="s">
        <v>594</v>
      </c>
      <c r="B135" s="625" t="s">
        <v>595</v>
      </c>
      <c r="C135" s="912">
        <v>4.608</v>
      </c>
      <c r="D135" s="831">
        <v>5.3464</v>
      </c>
      <c r="E135" s="834">
        <v>6.7351280000000004</v>
      </c>
      <c r="F135" s="834">
        <v>7.679385999999999</v>
      </c>
      <c r="G135" s="834">
        <v>8.1883392</v>
      </c>
      <c r="H135" s="831">
        <v>8.3661</v>
      </c>
      <c r="I135" s="856">
        <f t="shared" si="3"/>
        <v>3.7580999999999998</v>
      </c>
      <c r="J135" s="831"/>
    </row>
    <row r="136" spans="1:10" ht="18.75">
      <c r="A136" s="1036" t="s">
        <v>939</v>
      </c>
      <c r="B136" s="1037" t="s">
        <v>937</v>
      </c>
      <c r="C136" s="745">
        <f>'[5]BM2 aR'!$H$81</f>
        <v>8.4</v>
      </c>
      <c r="D136" s="614">
        <v>8.82</v>
      </c>
      <c r="E136" s="614">
        <v>8.996</v>
      </c>
      <c r="F136" s="614">
        <v>9.07</v>
      </c>
      <c r="G136" s="614">
        <v>9.152</v>
      </c>
      <c r="H136" s="614">
        <v>9.2</v>
      </c>
      <c r="I136" s="745">
        <f>SUM(D136:H136)/5</f>
        <v>9.0476</v>
      </c>
      <c r="J136" s="831"/>
    </row>
    <row r="137" spans="1:10" ht="18.75">
      <c r="A137" s="1036" t="s">
        <v>940</v>
      </c>
      <c r="B137" s="1037" t="s">
        <v>938</v>
      </c>
      <c r="C137" s="745"/>
      <c r="D137" s="614"/>
      <c r="E137" s="614"/>
      <c r="F137" s="614">
        <v>8</v>
      </c>
      <c r="G137" s="614">
        <v>12.5</v>
      </c>
      <c r="H137" s="614">
        <v>17.5</v>
      </c>
      <c r="I137" s="745">
        <f>SUM(D137:H137)/5</f>
        <v>7.6</v>
      </c>
      <c r="J137" s="831"/>
    </row>
    <row r="138" spans="1:10" ht="18.75">
      <c r="A138" s="626" t="s">
        <v>596</v>
      </c>
      <c r="B138" s="626"/>
      <c r="C138" s="913"/>
      <c r="D138" s="831"/>
      <c r="E138" s="831"/>
      <c r="F138" s="831"/>
      <c r="G138" s="831"/>
      <c r="H138" s="831"/>
      <c r="I138" s="856">
        <f>H138-C138</f>
        <v>0</v>
      </c>
      <c r="J138" s="831"/>
    </row>
    <row r="139" spans="1:10" ht="18.75">
      <c r="A139" s="561" t="s">
        <v>597</v>
      </c>
      <c r="B139" s="561" t="s">
        <v>493</v>
      </c>
      <c r="C139" s="569">
        <v>0.16</v>
      </c>
      <c r="D139" s="831">
        <v>0.163</v>
      </c>
      <c r="E139" s="831">
        <v>0.165</v>
      </c>
      <c r="F139" s="831">
        <v>0.165</v>
      </c>
      <c r="G139" s="831">
        <v>0.165</v>
      </c>
      <c r="H139" s="831">
        <v>0.165</v>
      </c>
      <c r="I139" s="856">
        <f>H139-C139</f>
        <v>0.0050000000000000044</v>
      </c>
      <c r="J139" s="831"/>
    </row>
    <row r="140" spans="1:10" ht="18.75">
      <c r="A140" s="561" t="s">
        <v>598</v>
      </c>
      <c r="B140" s="561" t="s">
        <v>599</v>
      </c>
      <c r="C140" s="569">
        <v>0.765</v>
      </c>
      <c r="D140" s="831">
        <v>0.803</v>
      </c>
      <c r="E140" s="831">
        <v>0.879</v>
      </c>
      <c r="F140" s="831">
        <v>0.918</v>
      </c>
      <c r="G140" s="831">
        <v>0.994</v>
      </c>
      <c r="H140" s="831">
        <v>1.32</v>
      </c>
      <c r="I140" s="856">
        <f>H140-C140</f>
        <v>0.555</v>
      </c>
      <c r="J140" s="831"/>
    </row>
    <row r="141" spans="1:10" ht="18.75">
      <c r="A141" s="561" t="s">
        <v>600</v>
      </c>
      <c r="B141" s="561" t="s">
        <v>599</v>
      </c>
      <c r="C141" s="569">
        <v>0.06</v>
      </c>
      <c r="D141" s="831">
        <v>0.07</v>
      </c>
      <c r="E141" s="831">
        <v>0.075</v>
      </c>
      <c r="F141" s="831">
        <v>0.078</v>
      </c>
      <c r="G141" s="831">
        <v>0.08</v>
      </c>
      <c r="H141" s="831">
        <v>0.07</v>
      </c>
      <c r="I141" s="856">
        <f>H141-C141</f>
        <v>0.010000000000000009</v>
      </c>
      <c r="J141" s="831"/>
    </row>
    <row r="142" spans="1:10" ht="18.75">
      <c r="A142" s="831" t="s">
        <v>882</v>
      </c>
      <c r="B142" s="561" t="s">
        <v>599</v>
      </c>
      <c r="C142" s="569">
        <f aca="true" t="shared" si="5" ref="C142:H142">+C140-C141</f>
        <v>0.7050000000000001</v>
      </c>
      <c r="D142" s="831">
        <f t="shared" si="5"/>
        <v>0.7330000000000001</v>
      </c>
      <c r="E142" s="831">
        <f t="shared" si="5"/>
        <v>0.804</v>
      </c>
      <c r="F142" s="831">
        <f t="shared" si="5"/>
        <v>0.8400000000000001</v>
      </c>
      <c r="G142" s="831">
        <f t="shared" si="5"/>
        <v>0.914</v>
      </c>
      <c r="H142" s="831">
        <f t="shared" si="5"/>
        <v>1.25</v>
      </c>
      <c r="I142" s="856">
        <f>H142-C142</f>
        <v>0.5449999999999999</v>
      </c>
      <c r="J142" s="831"/>
    </row>
  </sheetData>
  <sheetProtection/>
  <mergeCells count="8">
    <mergeCell ref="I5:J5"/>
    <mergeCell ref="I1:J1"/>
    <mergeCell ref="B2:J2"/>
    <mergeCell ref="D5:H5"/>
    <mergeCell ref="A3:H3"/>
    <mergeCell ref="A5:A6"/>
    <mergeCell ref="B5:B6"/>
    <mergeCell ref="C5:C6"/>
  </mergeCells>
  <printOptions horizontalCentered="1"/>
  <pageMargins left="0" right="0" top="0.5905511811023623" bottom="0.5905511811023623" header="0.5118110236220472" footer="0.2755905511811024"/>
  <pageSetup fitToHeight="0" horizontalDpi="600" verticalDpi="600" orientation="landscape" paperSize="9" scale="80" r:id="rId1"/>
  <headerFooter alignWithMargins="0">
    <oddFooter>&amp;R&amp;"Times New Roman,Regular"&amp;12&amp;P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P1:AN66"/>
  <sheetViews>
    <sheetView zoomScale="70" zoomScaleNormal="70" zoomScalePageLayoutView="0" workbookViewId="0" topLeftCell="R19">
      <selection activeCell="A4" sqref="A4:P4"/>
    </sheetView>
  </sheetViews>
  <sheetFormatPr defaultColWidth="9.140625" defaultRowHeight="12.75"/>
  <cols>
    <col min="1" max="1" width="4.140625" style="620" hidden="1" customWidth="1"/>
    <col min="2" max="2" width="14.57421875" style="620" hidden="1" customWidth="1"/>
    <col min="3" max="3" width="10.140625" style="620" hidden="1" customWidth="1"/>
    <col min="4" max="4" width="8.57421875" style="620" hidden="1" customWidth="1"/>
    <col min="5" max="5" width="9.28125" style="620" hidden="1" customWidth="1"/>
    <col min="6" max="6" width="8.57421875" style="620" hidden="1" customWidth="1"/>
    <col min="7" max="7" width="8.7109375" style="620" hidden="1" customWidth="1"/>
    <col min="8" max="8" width="9.00390625" style="620" hidden="1" customWidth="1"/>
    <col min="9" max="9" width="10.421875" style="620" hidden="1" customWidth="1"/>
    <col min="10" max="10" width="8.7109375" style="620" hidden="1" customWidth="1"/>
    <col min="11" max="11" width="0" style="620" hidden="1" customWidth="1"/>
    <col min="12" max="12" width="9.28125" style="620" hidden="1" customWidth="1"/>
    <col min="13" max="13" width="10.00390625" style="620" hidden="1" customWidth="1"/>
    <col min="14" max="14" width="9.140625" style="620" hidden="1" customWidth="1"/>
    <col min="15" max="15" width="7.28125" style="620" hidden="1" customWidth="1"/>
    <col min="16" max="16" width="7.140625" style="558" hidden="1" customWidth="1"/>
    <col min="17" max="17" width="3.7109375" style="558" hidden="1" customWidth="1"/>
    <col min="18" max="18" width="5.57421875" style="620" customWidth="1"/>
    <col min="19" max="19" width="28.57421875" style="620" customWidth="1"/>
    <col min="20" max="20" width="16.00390625" style="620" customWidth="1"/>
    <col min="21" max="21" width="15.28125" style="620" customWidth="1"/>
    <col min="22" max="22" width="12.421875" style="620" customWidth="1"/>
    <col min="23" max="23" width="12.00390625" style="620" customWidth="1"/>
    <col min="24" max="24" width="13.00390625" style="620" customWidth="1"/>
    <col min="25" max="25" width="15.00390625" style="620" customWidth="1"/>
    <col min="26" max="26" width="10.140625" style="620" customWidth="1"/>
    <col min="27" max="28" width="10.7109375" style="620" customWidth="1"/>
    <col min="29" max="29" width="13.8515625" style="620" customWidth="1"/>
    <col min="30" max="30" width="11.00390625" style="620" customWidth="1"/>
    <col min="31" max="31" width="12.421875" style="620" customWidth="1"/>
    <col min="32" max="32" width="10.140625" style="620" customWidth="1"/>
    <col min="33" max="33" width="13.140625" style="620" customWidth="1"/>
    <col min="34" max="34" width="9.140625" style="620" customWidth="1"/>
    <col min="35" max="35" width="12.140625" style="748" customWidth="1"/>
    <col min="36" max="36" width="9.140625" style="620" customWidth="1"/>
    <col min="37" max="37" width="9.00390625" style="620" customWidth="1"/>
    <col min="38" max="38" width="12.8515625" style="620" bestFit="1" customWidth="1"/>
    <col min="39" max="45" width="9.140625" style="620" customWidth="1"/>
    <col min="46" max="46" width="11.00390625" style="620" customWidth="1"/>
    <col min="47" max="47" width="9.140625" style="620" customWidth="1"/>
    <col min="48" max="48" width="11.28125" style="620" customWidth="1"/>
    <col min="49" max="16384" width="9.140625" style="620" customWidth="1"/>
  </cols>
  <sheetData>
    <row r="1" spans="16:35" s="619" customFormat="1" ht="18.75">
      <c r="P1" s="564"/>
      <c r="Q1" s="564"/>
      <c r="AE1" s="1778" t="s">
        <v>703</v>
      </c>
      <c r="AF1" s="1778"/>
      <c r="AG1" s="619" t="s">
        <v>704</v>
      </c>
      <c r="AI1" s="918"/>
    </row>
    <row r="2" spans="18:40" ht="18.75">
      <c r="R2" s="1783" t="s">
        <v>924</v>
      </c>
      <c r="S2" s="1783"/>
      <c r="T2" s="1783"/>
      <c r="U2" s="1783"/>
      <c r="V2" s="1783"/>
      <c r="W2" s="1783"/>
      <c r="X2" s="1783"/>
      <c r="Y2" s="1783"/>
      <c r="Z2" s="1783"/>
      <c r="AA2" s="1783"/>
      <c r="AB2" s="1783"/>
      <c r="AC2" s="1783"/>
      <c r="AD2" s="1783"/>
      <c r="AE2" s="1783"/>
      <c r="AF2" s="1783"/>
      <c r="AG2" s="1783"/>
      <c r="AH2" s="1783"/>
      <c r="AI2" s="1783"/>
      <c r="AJ2" s="1783"/>
      <c r="AK2" s="1783"/>
      <c r="AL2" s="1783"/>
      <c r="AM2" s="1783"/>
      <c r="AN2" s="1783"/>
    </row>
    <row r="3" spans="18:40" ht="18.75">
      <c r="R3" s="914"/>
      <c r="S3" s="914"/>
      <c r="T3" s="914"/>
      <c r="U3" s="914"/>
      <c r="V3" s="914"/>
      <c r="W3" s="914"/>
      <c r="X3" s="914"/>
      <c r="Y3" s="914"/>
      <c r="Z3" s="914"/>
      <c r="AA3" s="914"/>
      <c r="AB3" s="914"/>
      <c r="AC3" s="914"/>
      <c r="AD3" s="914"/>
      <c r="AE3" s="914"/>
      <c r="AF3" s="914"/>
      <c r="AG3" s="914"/>
      <c r="AH3" s="914"/>
      <c r="AI3" s="914"/>
      <c r="AJ3" s="914"/>
      <c r="AK3" s="914"/>
      <c r="AL3" s="914"/>
      <c r="AM3" s="914"/>
      <c r="AN3" s="914"/>
    </row>
    <row r="4" spans="18:25" ht="18.75">
      <c r="R4" s="1790" t="s">
        <v>807</v>
      </c>
      <c r="S4" s="1783"/>
      <c r="T4" s="1783"/>
      <c r="U4" s="1783"/>
      <c r="V4" s="1783"/>
      <c r="W4" s="1783"/>
      <c r="X4" s="1783"/>
      <c r="Y4" s="1783"/>
    </row>
    <row r="5" spans="18:25" ht="18.75">
      <c r="R5" s="746"/>
      <c r="S5" s="746"/>
      <c r="T5" s="747"/>
      <c r="U5" s="747"/>
      <c r="V5" s="747"/>
      <c r="W5" s="747"/>
      <c r="X5" s="747"/>
      <c r="Y5" s="747"/>
    </row>
    <row r="6" spans="18:25" ht="18.75">
      <c r="R6" s="749" t="s">
        <v>86</v>
      </c>
      <c r="S6" s="749" t="s">
        <v>211</v>
      </c>
      <c r="T6" s="749" t="s">
        <v>808</v>
      </c>
      <c r="U6" s="749" t="s">
        <v>809</v>
      </c>
      <c r="V6" s="749" t="s">
        <v>810</v>
      </c>
      <c r="W6" s="749" t="s">
        <v>811</v>
      </c>
      <c r="X6" s="622" t="s">
        <v>812</v>
      </c>
      <c r="Y6" s="622" t="s">
        <v>813</v>
      </c>
    </row>
    <row r="7" spans="18:25" ht="18.75">
      <c r="R7" s="750">
        <v>1</v>
      </c>
      <c r="S7" s="751" t="s">
        <v>814</v>
      </c>
      <c r="T7" s="752">
        <v>23379.6</v>
      </c>
      <c r="U7" s="752">
        <v>23912.6</v>
      </c>
      <c r="V7" s="752">
        <v>24402.6</v>
      </c>
      <c r="W7" s="752">
        <v>24922.6</v>
      </c>
      <c r="X7" s="752">
        <v>25427.6</v>
      </c>
      <c r="Y7" s="752">
        <v>25912.6</v>
      </c>
    </row>
    <row r="8" spans="18:25" ht="18.75">
      <c r="R8" s="750">
        <v>2</v>
      </c>
      <c r="S8" s="753" t="s">
        <v>815</v>
      </c>
      <c r="T8" s="754">
        <v>27.5</v>
      </c>
      <c r="U8" s="754">
        <v>27.71474958121174</v>
      </c>
      <c r="V8" s="754">
        <v>28.733975127111304</v>
      </c>
      <c r="W8" s="752">
        <v>29.389042311440818</v>
      </c>
      <c r="X8" s="752">
        <v>29.99126167414525</v>
      </c>
      <c r="Y8" s="752">
        <v>30.630351610076485</v>
      </c>
    </row>
    <row r="9" spans="18:25" ht="51" customHeight="1">
      <c r="R9" s="755">
        <v>3</v>
      </c>
      <c r="S9" s="756" t="s">
        <v>816</v>
      </c>
      <c r="T9" s="754">
        <v>32.50702384419971</v>
      </c>
      <c r="U9" s="754">
        <v>32.71685734898121</v>
      </c>
      <c r="V9" s="754">
        <v>33.98188671639278</v>
      </c>
      <c r="W9" s="754">
        <v>34.88275772223431</v>
      </c>
      <c r="X9" s="754">
        <v>35.730780906450754</v>
      </c>
      <c r="Y9" s="754">
        <v>36.615674663894005</v>
      </c>
    </row>
    <row r="10" spans="18:25" ht="18.75">
      <c r="R10" s="746"/>
      <c r="S10" s="746"/>
      <c r="T10" s="747"/>
      <c r="U10" s="747"/>
      <c r="V10" s="747"/>
      <c r="W10" s="747"/>
      <c r="X10" s="747"/>
      <c r="Y10" s="747"/>
    </row>
    <row r="11" spans="18:40" ht="18.75">
      <c r="R11" s="1783" t="s">
        <v>817</v>
      </c>
      <c r="S11" s="1783"/>
      <c r="T11" s="1783"/>
      <c r="U11" s="1783"/>
      <c r="V11" s="1783"/>
      <c r="W11" s="1783"/>
      <c r="X11" s="1783"/>
      <c r="Y11" s="1783"/>
      <c r="Z11" s="1783"/>
      <c r="AA11" s="1783"/>
      <c r="AB11" s="1783"/>
      <c r="AC11" s="1783"/>
      <c r="AD11" s="1783"/>
      <c r="AE11" s="1783"/>
      <c r="AF11" s="1783"/>
      <c r="AG11" s="1783"/>
      <c r="AH11" s="1783"/>
      <c r="AI11" s="1783"/>
      <c r="AJ11" s="1783"/>
      <c r="AK11" s="1783"/>
      <c r="AL11" s="1783"/>
      <c r="AM11" s="1783"/>
      <c r="AN11" s="1783"/>
    </row>
    <row r="12" spans="18:40" ht="18.75"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</row>
    <row r="13" spans="18:40" ht="18.75">
      <c r="R13" s="1787" t="s">
        <v>86</v>
      </c>
      <c r="S13" s="1787" t="s">
        <v>21</v>
      </c>
      <c r="T13" s="1791" t="s">
        <v>818</v>
      </c>
      <c r="U13" s="1792" t="s">
        <v>809</v>
      </c>
      <c r="V13" s="1793"/>
      <c r="W13" s="1793"/>
      <c r="X13" s="1794"/>
      <c r="Y13" s="1787" t="s">
        <v>810</v>
      </c>
      <c r="Z13" s="1787"/>
      <c r="AA13" s="1787"/>
      <c r="AB13" s="1787"/>
      <c r="AC13" s="1787" t="s">
        <v>811</v>
      </c>
      <c r="AD13" s="1787"/>
      <c r="AE13" s="1787"/>
      <c r="AF13" s="1787"/>
      <c r="AG13" s="1787" t="s">
        <v>812</v>
      </c>
      <c r="AH13" s="1787"/>
      <c r="AI13" s="1787"/>
      <c r="AJ13" s="1787"/>
      <c r="AK13" s="1787" t="s">
        <v>813</v>
      </c>
      <c r="AL13" s="1787"/>
      <c r="AM13" s="1787"/>
      <c r="AN13" s="1787"/>
    </row>
    <row r="14" spans="18:40" ht="38.25">
      <c r="R14" s="1787"/>
      <c r="S14" s="1787"/>
      <c r="T14" s="1787"/>
      <c r="U14" s="757" t="s">
        <v>819</v>
      </c>
      <c r="V14" s="758" t="s">
        <v>820</v>
      </c>
      <c r="W14" s="758" t="s">
        <v>821</v>
      </c>
      <c r="X14" s="758" t="s">
        <v>822</v>
      </c>
      <c r="Y14" s="757" t="s">
        <v>819</v>
      </c>
      <c r="Z14" s="758" t="s">
        <v>820</v>
      </c>
      <c r="AA14" s="758" t="s">
        <v>821</v>
      </c>
      <c r="AB14" s="758" t="s">
        <v>822</v>
      </c>
      <c r="AC14" s="757" t="s">
        <v>819</v>
      </c>
      <c r="AD14" s="758" t="s">
        <v>820</v>
      </c>
      <c r="AE14" s="758" t="s">
        <v>821</v>
      </c>
      <c r="AF14" s="758" t="s">
        <v>822</v>
      </c>
      <c r="AG14" s="757" t="s">
        <v>819</v>
      </c>
      <c r="AH14" s="758" t="s">
        <v>820</v>
      </c>
      <c r="AI14" s="758" t="s">
        <v>821</v>
      </c>
      <c r="AJ14" s="758" t="s">
        <v>822</v>
      </c>
      <c r="AK14" s="757" t="s">
        <v>819</v>
      </c>
      <c r="AL14" s="758" t="s">
        <v>820</v>
      </c>
      <c r="AM14" s="758" t="s">
        <v>821</v>
      </c>
      <c r="AN14" s="758" t="s">
        <v>822</v>
      </c>
    </row>
    <row r="15" spans="18:40" ht="18.75">
      <c r="R15" s="759" t="s">
        <v>29</v>
      </c>
      <c r="S15" s="759" t="s">
        <v>823</v>
      </c>
      <c r="T15" s="761">
        <f>T16+T18+T20+T22</f>
        <v>1995</v>
      </c>
      <c r="U15" s="761">
        <f>U16+U18+U20+U22</f>
        <v>350</v>
      </c>
      <c r="V15" s="761">
        <f>V16+V18+V20+V22</f>
        <v>250</v>
      </c>
      <c r="W15" s="761">
        <f aca="true" t="shared" si="0" ref="W15:AN15">W16+W18+W20+W22</f>
        <v>100</v>
      </c>
      <c r="X15" s="761">
        <f t="shared" si="0"/>
        <v>0</v>
      </c>
      <c r="Y15" s="761">
        <f t="shared" si="0"/>
        <v>350</v>
      </c>
      <c r="Z15" s="761">
        <f t="shared" si="0"/>
        <v>200</v>
      </c>
      <c r="AA15" s="761">
        <f t="shared" si="0"/>
        <v>150</v>
      </c>
      <c r="AB15" s="761">
        <f t="shared" si="0"/>
        <v>0</v>
      </c>
      <c r="AC15" s="761">
        <f t="shared" si="0"/>
        <v>415</v>
      </c>
      <c r="AD15" s="761">
        <f t="shared" si="0"/>
        <v>250</v>
      </c>
      <c r="AE15" s="761">
        <f t="shared" si="0"/>
        <v>165</v>
      </c>
      <c r="AF15" s="761">
        <f t="shared" si="0"/>
        <v>0</v>
      </c>
      <c r="AG15" s="761">
        <f t="shared" si="0"/>
        <v>430</v>
      </c>
      <c r="AH15" s="761">
        <f t="shared" si="0"/>
        <v>250</v>
      </c>
      <c r="AI15" s="761">
        <f t="shared" si="0"/>
        <v>180</v>
      </c>
      <c r="AJ15" s="761">
        <f t="shared" si="0"/>
        <v>0</v>
      </c>
      <c r="AK15" s="761">
        <f t="shared" si="0"/>
        <v>450</v>
      </c>
      <c r="AL15" s="761">
        <f t="shared" si="0"/>
        <v>250</v>
      </c>
      <c r="AM15" s="761">
        <f t="shared" si="0"/>
        <v>200</v>
      </c>
      <c r="AN15" s="761">
        <f t="shared" si="0"/>
        <v>0</v>
      </c>
    </row>
    <row r="16" spans="18:40" ht="18.75">
      <c r="R16" s="1784">
        <v>1</v>
      </c>
      <c r="S16" s="1785" t="s">
        <v>824</v>
      </c>
      <c r="T16" s="762">
        <f>U16+Y16+AC16+AG16+AK16</f>
        <v>745</v>
      </c>
      <c r="U16" s="763">
        <f>V16+W16+X16</f>
        <v>100</v>
      </c>
      <c r="V16" s="1139">
        <v>50</v>
      </c>
      <c r="W16" s="1139">
        <v>50</v>
      </c>
      <c r="X16" s="1139">
        <v>0</v>
      </c>
      <c r="Y16" s="1139">
        <f>Z16+AA16+AB16</f>
        <v>100</v>
      </c>
      <c r="Z16" s="1139">
        <v>50</v>
      </c>
      <c r="AA16" s="1139">
        <v>50</v>
      </c>
      <c r="AB16" s="1139">
        <v>0</v>
      </c>
      <c r="AC16" s="1139">
        <f>AD16+AE16+AF16</f>
        <v>165</v>
      </c>
      <c r="AD16" s="1139">
        <v>100</v>
      </c>
      <c r="AE16" s="763">
        <v>65</v>
      </c>
      <c r="AF16" s="763"/>
      <c r="AG16" s="763">
        <f>AH16+AI16+AJ16</f>
        <v>180</v>
      </c>
      <c r="AH16" s="763">
        <v>100</v>
      </c>
      <c r="AI16" s="763">
        <v>80</v>
      </c>
      <c r="AJ16" s="763"/>
      <c r="AK16" s="763">
        <f>AL16+AM16+AN16</f>
        <v>200</v>
      </c>
      <c r="AL16" s="763">
        <v>100</v>
      </c>
      <c r="AM16" s="763">
        <v>100</v>
      </c>
      <c r="AN16" s="763"/>
    </row>
    <row r="17" spans="18:40" ht="27">
      <c r="R17" s="1784"/>
      <c r="S17" s="1785"/>
      <c r="T17" s="762"/>
      <c r="U17" s="764" t="s">
        <v>825</v>
      </c>
      <c r="V17" s="764" t="s">
        <v>997</v>
      </c>
      <c r="W17" s="765" t="s">
        <v>827</v>
      </c>
      <c r="X17" s="763"/>
      <c r="Y17" s="764" t="s">
        <v>825</v>
      </c>
      <c r="Z17" s="764" t="s">
        <v>826</v>
      </c>
      <c r="AA17" s="765" t="s">
        <v>827</v>
      </c>
      <c r="AB17" s="763"/>
      <c r="AC17" s="764" t="s">
        <v>825</v>
      </c>
      <c r="AD17" s="764" t="s">
        <v>826</v>
      </c>
      <c r="AE17" s="765" t="s">
        <v>827</v>
      </c>
      <c r="AF17" s="763"/>
      <c r="AG17" s="764" t="s">
        <v>825</v>
      </c>
      <c r="AH17" s="764" t="s">
        <v>826</v>
      </c>
      <c r="AI17" s="765" t="s">
        <v>827</v>
      </c>
      <c r="AJ17" s="763"/>
      <c r="AK17" s="764" t="s">
        <v>825</v>
      </c>
      <c r="AL17" s="764" t="s">
        <v>826</v>
      </c>
      <c r="AM17" s="765" t="s">
        <v>827</v>
      </c>
      <c r="AN17" s="763"/>
    </row>
    <row r="18" spans="18:40" ht="18.75">
      <c r="R18" s="1784">
        <v>2</v>
      </c>
      <c r="S18" s="1788" t="s">
        <v>828</v>
      </c>
      <c r="T18" s="762">
        <f>U18+Y18+AC18+AG18+AK18</f>
        <v>500</v>
      </c>
      <c r="U18" s="763">
        <f>V18+W18+X18</f>
        <v>100</v>
      </c>
      <c r="V18" s="763">
        <v>50</v>
      </c>
      <c r="W18" s="763">
        <v>50</v>
      </c>
      <c r="X18" s="763">
        <v>0</v>
      </c>
      <c r="Y18" s="763">
        <f>Z18+AA18+AB18</f>
        <v>100</v>
      </c>
      <c r="Z18" s="763">
        <v>50</v>
      </c>
      <c r="AA18" s="763">
        <v>50</v>
      </c>
      <c r="AB18" s="763">
        <v>0</v>
      </c>
      <c r="AC18" s="763">
        <f>AD18+AE18+AF18</f>
        <v>100</v>
      </c>
      <c r="AD18" s="763">
        <v>50</v>
      </c>
      <c r="AE18" s="763">
        <v>50</v>
      </c>
      <c r="AF18" s="763"/>
      <c r="AG18" s="763">
        <f>AH18+AI18+AJ18</f>
        <v>100</v>
      </c>
      <c r="AH18" s="763">
        <v>50</v>
      </c>
      <c r="AI18" s="763">
        <v>50</v>
      </c>
      <c r="AJ18" s="763"/>
      <c r="AK18" s="763">
        <f>AL18+AM18+AN18</f>
        <v>100</v>
      </c>
      <c r="AL18" s="763">
        <v>50</v>
      </c>
      <c r="AM18" s="763">
        <v>50</v>
      </c>
      <c r="AN18" s="763"/>
    </row>
    <row r="19" spans="18:40" ht="25.5">
      <c r="R19" s="1784"/>
      <c r="S19" s="1789"/>
      <c r="T19" s="762"/>
      <c r="U19" s="764" t="s">
        <v>825</v>
      </c>
      <c r="V19" s="764" t="s">
        <v>829</v>
      </c>
      <c r="W19" s="764" t="s">
        <v>830</v>
      </c>
      <c r="X19" s="763"/>
      <c r="Y19" s="764" t="s">
        <v>825</v>
      </c>
      <c r="Z19" s="764" t="s">
        <v>829</v>
      </c>
      <c r="AA19" s="764" t="s">
        <v>831</v>
      </c>
      <c r="AB19" s="763"/>
      <c r="AC19" s="764" t="s">
        <v>825</v>
      </c>
      <c r="AD19" s="764" t="s">
        <v>829</v>
      </c>
      <c r="AE19" s="764" t="s">
        <v>832</v>
      </c>
      <c r="AF19" s="763"/>
      <c r="AG19" s="764" t="s">
        <v>825</v>
      </c>
      <c r="AH19" s="764" t="s">
        <v>829</v>
      </c>
      <c r="AI19" s="764" t="s">
        <v>832</v>
      </c>
      <c r="AJ19" s="763"/>
      <c r="AK19" s="764" t="s">
        <v>825</v>
      </c>
      <c r="AL19" s="764" t="s">
        <v>829</v>
      </c>
      <c r="AM19" s="764" t="s">
        <v>832</v>
      </c>
      <c r="AN19" s="763"/>
    </row>
    <row r="20" spans="18:40" ht="18.75">
      <c r="R20" s="1784">
        <v>3</v>
      </c>
      <c r="S20" s="1788" t="s">
        <v>833</v>
      </c>
      <c r="T20" s="762">
        <f>U20+Y20+AC20+AG20+AK20</f>
        <v>500</v>
      </c>
      <c r="U20" s="763">
        <f>V20+W20+X20</f>
        <v>100</v>
      </c>
      <c r="V20" s="763">
        <v>100</v>
      </c>
      <c r="W20" s="763"/>
      <c r="X20" s="763"/>
      <c r="Y20" s="763">
        <f>Z20+AA20+AB20</f>
        <v>100</v>
      </c>
      <c r="Z20" s="763">
        <v>50</v>
      </c>
      <c r="AA20" s="763">
        <v>50</v>
      </c>
      <c r="AB20" s="763"/>
      <c r="AC20" s="763">
        <f>AD20+AE20+AF20</f>
        <v>100</v>
      </c>
      <c r="AD20" s="763">
        <v>50</v>
      </c>
      <c r="AE20" s="763">
        <v>50</v>
      </c>
      <c r="AF20" s="763"/>
      <c r="AG20" s="763">
        <f>AH20+AI20+AJ20</f>
        <v>100</v>
      </c>
      <c r="AH20" s="763">
        <v>50</v>
      </c>
      <c r="AI20" s="763">
        <v>50</v>
      </c>
      <c r="AJ20" s="763"/>
      <c r="AK20" s="763">
        <f>AL20+AM20+AN20</f>
        <v>100</v>
      </c>
      <c r="AL20" s="763">
        <v>50</v>
      </c>
      <c r="AM20" s="763">
        <v>50</v>
      </c>
      <c r="AN20" s="763"/>
    </row>
    <row r="21" spans="18:40" ht="27">
      <c r="R21" s="1784"/>
      <c r="S21" s="1789"/>
      <c r="T21" s="762"/>
      <c r="U21" s="764" t="s">
        <v>825</v>
      </c>
      <c r="V21" s="765" t="s">
        <v>834</v>
      </c>
      <c r="W21" s="764"/>
      <c r="X21" s="763"/>
      <c r="Y21" s="764" t="s">
        <v>825</v>
      </c>
      <c r="Z21" s="764" t="s">
        <v>835</v>
      </c>
      <c r="AA21" s="764" t="s">
        <v>836</v>
      </c>
      <c r="AB21" s="763"/>
      <c r="AC21" s="764" t="s">
        <v>825</v>
      </c>
      <c r="AD21" s="764" t="s">
        <v>837</v>
      </c>
      <c r="AE21" s="764" t="s">
        <v>838</v>
      </c>
      <c r="AF21" s="763"/>
      <c r="AG21" s="764" t="s">
        <v>825</v>
      </c>
      <c r="AH21" s="764" t="s">
        <v>837</v>
      </c>
      <c r="AI21" s="764" t="s">
        <v>838</v>
      </c>
      <c r="AJ21" s="763"/>
      <c r="AK21" s="764" t="s">
        <v>825</v>
      </c>
      <c r="AL21" s="764" t="s">
        <v>837</v>
      </c>
      <c r="AM21" s="764" t="s">
        <v>838</v>
      </c>
      <c r="AN21" s="763"/>
    </row>
    <row r="22" spans="18:40" ht="18.75">
      <c r="R22" s="1784">
        <v>4</v>
      </c>
      <c r="S22" s="1785" t="s">
        <v>839</v>
      </c>
      <c r="T22" s="762">
        <f>U22+Y22+AC22+AG22+AK22</f>
        <v>250</v>
      </c>
      <c r="U22" s="763">
        <f>V22+W22+X22</f>
        <v>50</v>
      </c>
      <c r="V22" s="763">
        <v>50</v>
      </c>
      <c r="W22" s="763">
        <v>0</v>
      </c>
      <c r="X22" s="763"/>
      <c r="Y22" s="763">
        <f>Z22+AA22+AB22</f>
        <v>50</v>
      </c>
      <c r="Z22" s="763">
        <v>50</v>
      </c>
      <c r="AA22" s="763"/>
      <c r="AB22" s="763"/>
      <c r="AC22" s="763">
        <f>AD22+AE22+AF22</f>
        <v>50</v>
      </c>
      <c r="AD22" s="763">
        <v>50</v>
      </c>
      <c r="AE22" s="763"/>
      <c r="AF22" s="763"/>
      <c r="AG22" s="763">
        <f>AH22+AI22+AJ22</f>
        <v>50</v>
      </c>
      <c r="AH22" s="763">
        <v>50</v>
      </c>
      <c r="AI22" s="763"/>
      <c r="AJ22" s="763"/>
      <c r="AK22" s="763">
        <f>AL22+AM22+AN22</f>
        <v>50</v>
      </c>
      <c r="AL22" s="763">
        <v>50</v>
      </c>
      <c r="AM22" s="763"/>
      <c r="AN22" s="763"/>
    </row>
    <row r="23" spans="18:40" ht="27">
      <c r="R23" s="1784"/>
      <c r="S23" s="1786"/>
      <c r="T23" s="760"/>
      <c r="U23" s="764" t="s">
        <v>825</v>
      </c>
      <c r="V23" s="765" t="s">
        <v>840</v>
      </c>
      <c r="W23" s="763"/>
      <c r="X23" s="763"/>
      <c r="Y23" s="764" t="s">
        <v>825</v>
      </c>
      <c r="Z23" s="765" t="s">
        <v>841</v>
      </c>
      <c r="AA23" s="763"/>
      <c r="AB23" s="763"/>
      <c r="AC23" s="764" t="s">
        <v>825</v>
      </c>
      <c r="AD23" s="765" t="s">
        <v>842</v>
      </c>
      <c r="AE23" s="763"/>
      <c r="AF23" s="763"/>
      <c r="AG23" s="764" t="s">
        <v>825</v>
      </c>
      <c r="AH23" s="765" t="s">
        <v>840</v>
      </c>
      <c r="AI23" s="763"/>
      <c r="AJ23" s="763"/>
      <c r="AK23" s="764" t="s">
        <v>825</v>
      </c>
      <c r="AL23" s="765" t="s">
        <v>842</v>
      </c>
      <c r="AM23" s="763"/>
      <c r="AN23" s="763"/>
    </row>
    <row r="24" spans="18:40" ht="18.75">
      <c r="R24" s="759" t="s">
        <v>30</v>
      </c>
      <c r="S24" s="759" t="s">
        <v>843</v>
      </c>
      <c r="T24" s="766">
        <f>T25+T27+T29+T31+T33+T35+T37+T39+T41+T43+T45</f>
        <v>505</v>
      </c>
      <c r="U24" s="766">
        <f>U25+U27+U29+U31+U33+U35+U37+U39+U41+U43+U45</f>
        <v>74</v>
      </c>
      <c r="V24" s="766">
        <f aca="true" t="shared" si="1" ref="V24:AN24">V25+V27+V29+V31+V33+V35+V37+V39+V41+V43+V45</f>
        <v>0</v>
      </c>
      <c r="W24" s="766">
        <f t="shared" si="1"/>
        <v>2</v>
      </c>
      <c r="X24" s="766">
        <f t="shared" si="1"/>
        <v>72</v>
      </c>
      <c r="Y24" s="766">
        <f t="shared" si="1"/>
        <v>80</v>
      </c>
      <c r="Z24" s="766">
        <f t="shared" si="1"/>
        <v>0</v>
      </c>
      <c r="AA24" s="766">
        <f t="shared" si="1"/>
        <v>2</v>
      </c>
      <c r="AB24" s="766">
        <f t="shared" si="1"/>
        <v>78</v>
      </c>
      <c r="AC24" s="766">
        <f t="shared" si="1"/>
        <v>95</v>
      </c>
      <c r="AD24" s="766">
        <f t="shared" si="1"/>
        <v>0</v>
      </c>
      <c r="AE24" s="766">
        <f t="shared" si="1"/>
        <v>1</v>
      </c>
      <c r="AF24" s="766">
        <f t="shared" si="1"/>
        <v>94</v>
      </c>
      <c r="AG24" s="766">
        <f t="shared" si="1"/>
        <v>123</v>
      </c>
      <c r="AH24" s="766">
        <f t="shared" si="1"/>
        <v>0</v>
      </c>
      <c r="AI24" s="766">
        <f t="shared" si="1"/>
        <v>0</v>
      </c>
      <c r="AJ24" s="766">
        <f t="shared" si="1"/>
        <v>123</v>
      </c>
      <c r="AK24" s="766">
        <f t="shared" si="1"/>
        <v>133</v>
      </c>
      <c r="AL24" s="766">
        <f t="shared" si="1"/>
        <v>0</v>
      </c>
      <c r="AM24" s="766">
        <f t="shared" si="1"/>
        <v>0</v>
      </c>
      <c r="AN24" s="766">
        <f t="shared" si="1"/>
        <v>133</v>
      </c>
    </row>
    <row r="25" spans="18:40" ht="18.75">
      <c r="R25" s="1784">
        <v>1</v>
      </c>
      <c r="S25" s="1785" t="s">
        <v>844</v>
      </c>
      <c r="T25" s="762">
        <f>U25+Y25+AC25+AG25+AK25</f>
        <v>3</v>
      </c>
      <c r="U25" s="763">
        <f>V25+W25+X25</f>
        <v>2</v>
      </c>
      <c r="V25" s="763">
        <v>0</v>
      </c>
      <c r="W25" s="763">
        <v>0</v>
      </c>
      <c r="X25" s="763">
        <v>2</v>
      </c>
      <c r="Y25" s="763">
        <f>Z25+AA25+AB25</f>
        <v>1</v>
      </c>
      <c r="Z25" s="763">
        <v>0</v>
      </c>
      <c r="AA25" s="763">
        <v>0</v>
      </c>
      <c r="AB25" s="763">
        <v>1</v>
      </c>
      <c r="AC25" s="763">
        <f>AD25+AE25+AF25</f>
        <v>0</v>
      </c>
      <c r="AD25" s="763">
        <v>0</v>
      </c>
      <c r="AE25" s="763">
        <v>0</v>
      </c>
      <c r="AF25" s="763">
        <v>0</v>
      </c>
      <c r="AG25" s="763">
        <f>AH25+AI25+AJ25</f>
        <v>0</v>
      </c>
      <c r="AH25" s="763">
        <v>0</v>
      </c>
      <c r="AI25" s="763">
        <v>0</v>
      </c>
      <c r="AJ25" s="763">
        <v>0</v>
      </c>
      <c r="AK25" s="763">
        <f>AL25+AM25+AN25</f>
        <v>0</v>
      </c>
      <c r="AL25" s="763">
        <v>0</v>
      </c>
      <c r="AM25" s="763">
        <v>0</v>
      </c>
      <c r="AN25" s="763">
        <v>0</v>
      </c>
    </row>
    <row r="26" spans="18:40" ht="27">
      <c r="R26" s="1784"/>
      <c r="S26" s="1785"/>
      <c r="T26" s="762"/>
      <c r="U26" s="764" t="s">
        <v>825</v>
      </c>
      <c r="V26" s="767"/>
      <c r="W26" s="767"/>
      <c r="X26" s="765" t="s">
        <v>845</v>
      </c>
      <c r="Y26" s="764" t="s">
        <v>825</v>
      </c>
      <c r="Z26" s="767"/>
      <c r="AA26" s="767"/>
      <c r="AB26" s="765" t="s">
        <v>845</v>
      </c>
      <c r="AC26" s="764" t="s">
        <v>825</v>
      </c>
      <c r="AD26" s="767"/>
      <c r="AE26" s="767"/>
      <c r="AF26" s="765" t="s">
        <v>845</v>
      </c>
      <c r="AG26" s="764" t="s">
        <v>825</v>
      </c>
      <c r="AH26" s="767"/>
      <c r="AI26" s="767"/>
      <c r="AJ26" s="765"/>
      <c r="AK26" s="764" t="s">
        <v>825</v>
      </c>
      <c r="AL26" s="767"/>
      <c r="AM26" s="767"/>
      <c r="AN26" s="765"/>
    </row>
    <row r="27" spans="18:40" ht="18.75">
      <c r="R27" s="1784">
        <v>2</v>
      </c>
      <c r="S27" s="1785" t="s">
        <v>846</v>
      </c>
      <c r="T27" s="762">
        <f>U27+Y27+AC27+AG27+AK27</f>
        <v>2</v>
      </c>
      <c r="U27" s="763">
        <f>V27+W27+X27</f>
        <v>2</v>
      </c>
      <c r="V27" s="763">
        <v>0</v>
      </c>
      <c r="W27" s="763">
        <v>0</v>
      </c>
      <c r="X27" s="763">
        <v>2</v>
      </c>
      <c r="Y27" s="763">
        <f>Z27+AA27+AB27</f>
        <v>0</v>
      </c>
      <c r="Z27" s="763"/>
      <c r="AA27" s="763"/>
      <c r="AB27" s="763"/>
      <c r="AC27" s="763">
        <f>AD27+AE27+AF27</f>
        <v>0</v>
      </c>
      <c r="AD27" s="763"/>
      <c r="AE27" s="763"/>
      <c r="AF27" s="763"/>
      <c r="AG27" s="763">
        <f>AH27+AI27+AJ27</f>
        <v>0</v>
      </c>
      <c r="AH27" s="763"/>
      <c r="AI27" s="763"/>
      <c r="AJ27" s="763">
        <v>0</v>
      </c>
      <c r="AK27" s="763">
        <f>AL27+AM27+AN27</f>
        <v>0</v>
      </c>
      <c r="AL27" s="763"/>
      <c r="AM27" s="763"/>
      <c r="AN27" s="763">
        <v>0</v>
      </c>
    </row>
    <row r="28" spans="18:40" ht="27">
      <c r="R28" s="1784"/>
      <c r="S28" s="1785"/>
      <c r="T28" s="762"/>
      <c r="U28" s="764" t="s">
        <v>825</v>
      </c>
      <c r="V28" s="767"/>
      <c r="W28" s="767"/>
      <c r="X28" s="765" t="s">
        <v>847</v>
      </c>
      <c r="Y28" s="764" t="s">
        <v>825</v>
      </c>
      <c r="Z28" s="767"/>
      <c r="AA28" s="767"/>
      <c r="AB28" s="765"/>
      <c r="AC28" s="764" t="s">
        <v>825</v>
      </c>
      <c r="AD28" s="767"/>
      <c r="AE28" s="767"/>
      <c r="AF28" s="765"/>
      <c r="AG28" s="764" t="s">
        <v>825</v>
      </c>
      <c r="AH28" s="767"/>
      <c r="AI28" s="767"/>
      <c r="AJ28" s="765"/>
      <c r="AK28" s="764" t="s">
        <v>825</v>
      </c>
      <c r="AL28" s="767"/>
      <c r="AM28" s="767"/>
      <c r="AN28" s="765"/>
    </row>
    <row r="29" spans="18:40" ht="18.75">
      <c r="R29" s="1784">
        <v>3</v>
      </c>
      <c r="S29" s="1785" t="s">
        <v>848</v>
      </c>
      <c r="T29" s="762">
        <f>U29+Y29+AC29+AG29+AK29</f>
        <v>25</v>
      </c>
      <c r="U29" s="763">
        <f>V29+W29+X29</f>
        <v>5</v>
      </c>
      <c r="V29" s="763">
        <v>0</v>
      </c>
      <c r="W29" s="763">
        <v>0</v>
      </c>
      <c r="X29" s="763">
        <v>5</v>
      </c>
      <c r="Y29" s="763">
        <f>Z29+AA29+AB29</f>
        <v>5</v>
      </c>
      <c r="Z29" s="763"/>
      <c r="AA29" s="763"/>
      <c r="AB29" s="763">
        <v>5</v>
      </c>
      <c r="AC29" s="763">
        <f>AD29+AE29+AF29</f>
        <v>5</v>
      </c>
      <c r="AD29" s="763"/>
      <c r="AE29" s="763"/>
      <c r="AF29" s="763">
        <v>5</v>
      </c>
      <c r="AG29" s="763">
        <f>AH29+AI29+AJ29</f>
        <v>5</v>
      </c>
      <c r="AH29" s="763"/>
      <c r="AI29" s="763"/>
      <c r="AJ29" s="763">
        <v>5</v>
      </c>
      <c r="AK29" s="763">
        <f>AL29+AM29+AN29</f>
        <v>5</v>
      </c>
      <c r="AL29" s="763"/>
      <c r="AM29" s="763"/>
      <c r="AN29" s="763">
        <v>5</v>
      </c>
    </row>
    <row r="30" spans="18:40" ht="27">
      <c r="R30" s="1784"/>
      <c r="S30" s="1785"/>
      <c r="T30" s="762"/>
      <c r="U30" s="764" t="s">
        <v>825</v>
      </c>
      <c r="V30" s="767"/>
      <c r="W30" s="767"/>
      <c r="X30" s="765" t="s">
        <v>842</v>
      </c>
      <c r="Y30" s="764" t="s">
        <v>825</v>
      </c>
      <c r="Z30" s="767"/>
      <c r="AA30" s="767"/>
      <c r="AB30" s="765" t="s">
        <v>842</v>
      </c>
      <c r="AC30" s="764" t="s">
        <v>825</v>
      </c>
      <c r="AD30" s="767"/>
      <c r="AE30" s="767"/>
      <c r="AF30" s="765" t="s">
        <v>842</v>
      </c>
      <c r="AG30" s="764" t="s">
        <v>825</v>
      </c>
      <c r="AH30" s="767"/>
      <c r="AI30" s="767"/>
      <c r="AJ30" s="765" t="s">
        <v>842</v>
      </c>
      <c r="AK30" s="764" t="s">
        <v>825</v>
      </c>
      <c r="AL30" s="767"/>
      <c r="AM30" s="767"/>
      <c r="AN30" s="765" t="s">
        <v>842</v>
      </c>
    </row>
    <row r="31" spans="18:40" ht="18.75">
      <c r="R31" s="1784">
        <v>4</v>
      </c>
      <c r="S31" s="1785" t="s">
        <v>849</v>
      </c>
      <c r="T31" s="762">
        <f>U31+Y31+AC31+AG31+AK31</f>
        <v>15</v>
      </c>
      <c r="U31" s="763">
        <f>V31+W31+X31</f>
        <v>3</v>
      </c>
      <c r="V31" s="763">
        <v>0</v>
      </c>
      <c r="W31" s="763">
        <v>0</v>
      </c>
      <c r="X31" s="763">
        <v>3</v>
      </c>
      <c r="Y31" s="763">
        <f>Z31+AA31+AB31</f>
        <v>3</v>
      </c>
      <c r="Z31" s="763"/>
      <c r="AA31" s="763"/>
      <c r="AB31" s="763">
        <v>3</v>
      </c>
      <c r="AC31" s="763">
        <f>AD31+AE31+AF31</f>
        <v>3</v>
      </c>
      <c r="AD31" s="763"/>
      <c r="AE31" s="763"/>
      <c r="AF31" s="763">
        <v>3</v>
      </c>
      <c r="AG31" s="763">
        <f>AH31+AI31+AJ31</f>
        <v>3</v>
      </c>
      <c r="AH31" s="763"/>
      <c r="AI31" s="763"/>
      <c r="AJ31" s="763">
        <v>3</v>
      </c>
      <c r="AK31" s="763">
        <f>AL31+AM31+AN31</f>
        <v>3</v>
      </c>
      <c r="AL31" s="763"/>
      <c r="AM31" s="763"/>
      <c r="AN31" s="763">
        <v>3</v>
      </c>
    </row>
    <row r="32" spans="18:40" ht="27">
      <c r="R32" s="1784"/>
      <c r="S32" s="1785"/>
      <c r="T32" s="762"/>
      <c r="U32" s="764" t="s">
        <v>825</v>
      </c>
      <c r="V32" s="767"/>
      <c r="W32" s="767"/>
      <c r="X32" s="765" t="s">
        <v>850</v>
      </c>
      <c r="Y32" s="764" t="s">
        <v>825</v>
      </c>
      <c r="Z32" s="767"/>
      <c r="AA32" s="767"/>
      <c r="AB32" s="765" t="s">
        <v>850</v>
      </c>
      <c r="AC32" s="764" t="s">
        <v>825</v>
      </c>
      <c r="AD32" s="767"/>
      <c r="AE32" s="767"/>
      <c r="AF32" s="765" t="s">
        <v>850</v>
      </c>
      <c r="AG32" s="764" t="s">
        <v>825</v>
      </c>
      <c r="AH32" s="767"/>
      <c r="AI32" s="767"/>
      <c r="AJ32" s="765" t="s">
        <v>850</v>
      </c>
      <c r="AK32" s="764" t="s">
        <v>825</v>
      </c>
      <c r="AL32" s="767"/>
      <c r="AM32" s="767"/>
      <c r="AN32" s="765" t="s">
        <v>850</v>
      </c>
    </row>
    <row r="33" spans="18:40" ht="18.75">
      <c r="R33" s="1784">
        <v>5</v>
      </c>
      <c r="S33" s="1785" t="s">
        <v>851</v>
      </c>
      <c r="T33" s="762">
        <f>U33+Y33+AC33+AG33+AK33</f>
        <v>30</v>
      </c>
      <c r="U33" s="763">
        <f>V33+W33+X33</f>
        <v>8</v>
      </c>
      <c r="V33" s="763">
        <v>0</v>
      </c>
      <c r="W33" s="763">
        <v>0</v>
      </c>
      <c r="X33" s="763">
        <v>8</v>
      </c>
      <c r="Y33" s="763">
        <f>Z33+AA33+AB33</f>
        <v>6</v>
      </c>
      <c r="Z33" s="763"/>
      <c r="AA33" s="763"/>
      <c r="AB33" s="763">
        <v>6</v>
      </c>
      <c r="AC33" s="763">
        <f>AD33+AE33+AF33</f>
        <v>6</v>
      </c>
      <c r="AD33" s="763"/>
      <c r="AE33" s="763"/>
      <c r="AF33" s="763">
        <v>6</v>
      </c>
      <c r="AG33" s="763">
        <f>AH33+AI33+AJ33</f>
        <v>5</v>
      </c>
      <c r="AH33" s="763"/>
      <c r="AI33" s="763"/>
      <c r="AJ33" s="763">
        <v>5</v>
      </c>
      <c r="AK33" s="763">
        <f>AL33+AM33+AN33</f>
        <v>5</v>
      </c>
      <c r="AL33" s="763"/>
      <c r="AM33" s="763"/>
      <c r="AN33" s="763">
        <v>5</v>
      </c>
    </row>
    <row r="34" spans="18:40" ht="27">
      <c r="R34" s="1784"/>
      <c r="S34" s="1785"/>
      <c r="T34" s="762"/>
      <c r="U34" s="764" t="s">
        <v>825</v>
      </c>
      <c r="V34" s="767"/>
      <c r="W34" s="767"/>
      <c r="X34" s="765" t="s">
        <v>852</v>
      </c>
      <c r="Y34" s="764" t="s">
        <v>825</v>
      </c>
      <c r="Z34" s="767"/>
      <c r="AA34" s="767"/>
      <c r="AB34" s="765" t="s">
        <v>852</v>
      </c>
      <c r="AC34" s="764" t="s">
        <v>825</v>
      </c>
      <c r="AD34" s="767"/>
      <c r="AE34" s="767"/>
      <c r="AF34" s="765" t="s">
        <v>853</v>
      </c>
      <c r="AG34" s="764" t="s">
        <v>825</v>
      </c>
      <c r="AH34" s="767"/>
      <c r="AI34" s="767"/>
      <c r="AJ34" s="765" t="s">
        <v>853</v>
      </c>
      <c r="AK34" s="764" t="s">
        <v>825</v>
      </c>
      <c r="AL34" s="767"/>
      <c r="AM34" s="767"/>
      <c r="AN34" s="765" t="s">
        <v>853</v>
      </c>
    </row>
    <row r="35" spans="18:40" ht="18.75">
      <c r="R35" s="1784">
        <v>6</v>
      </c>
      <c r="S35" s="1785" t="s">
        <v>854</v>
      </c>
      <c r="T35" s="762">
        <f>U35+Y35+AC35+AG35+AK35</f>
        <v>50</v>
      </c>
      <c r="U35" s="763">
        <f>V35+W35+X35</f>
        <v>10</v>
      </c>
      <c r="V35" s="763">
        <v>0</v>
      </c>
      <c r="W35" s="763">
        <v>0</v>
      </c>
      <c r="X35" s="763">
        <v>10</v>
      </c>
      <c r="Y35" s="763">
        <f>Z35+AA35+AB35</f>
        <v>10</v>
      </c>
      <c r="Z35" s="763"/>
      <c r="AA35" s="763"/>
      <c r="AB35" s="763">
        <v>10</v>
      </c>
      <c r="AC35" s="763">
        <f>AD35+AE35+AF35</f>
        <v>10</v>
      </c>
      <c r="AD35" s="763"/>
      <c r="AE35" s="763"/>
      <c r="AF35" s="763">
        <v>10</v>
      </c>
      <c r="AG35" s="763">
        <f>AH35+AI35+AJ35</f>
        <v>10</v>
      </c>
      <c r="AH35" s="763"/>
      <c r="AI35" s="763"/>
      <c r="AJ35" s="763">
        <v>10</v>
      </c>
      <c r="AK35" s="763">
        <f>AL35+AM35+AN35</f>
        <v>10</v>
      </c>
      <c r="AL35" s="763"/>
      <c r="AM35" s="763"/>
      <c r="AN35" s="763">
        <v>10</v>
      </c>
    </row>
    <row r="36" spans="18:40" ht="27">
      <c r="R36" s="1784"/>
      <c r="S36" s="1785"/>
      <c r="T36" s="762"/>
      <c r="U36" s="764" t="s">
        <v>825</v>
      </c>
      <c r="V36" s="767"/>
      <c r="W36" s="767"/>
      <c r="X36" s="765" t="s">
        <v>855</v>
      </c>
      <c r="Y36" s="764" t="s">
        <v>825</v>
      </c>
      <c r="Z36" s="767"/>
      <c r="AA36" s="767"/>
      <c r="AB36" s="765" t="s">
        <v>855</v>
      </c>
      <c r="AC36" s="764" t="s">
        <v>825</v>
      </c>
      <c r="AD36" s="767"/>
      <c r="AE36" s="767"/>
      <c r="AF36" s="765" t="s">
        <v>856</v>
      </c>
      <c r="AG36" s="764" t="s">
        <v>825</v>
      </c>
      <c r="AH36" s="767"/>
      <c r="AI36" s="767"/>
      <c r="AJ36" s="765" t="s">
        <v>840</v>
      </c>
      <c r="AK36" s="764" t="s">
        <v>825</v>
      </c>
      <c r="AL36" s="767"/>
      <c r="AM36" s="767"/>
      <c r="AN36" s="765" t="s">
        <v>840</v>
      </c>
    </row>
    <row r="37" spans="18:40" ht="18.75">
      <c r="R37" s="1784">
        <v>7</v>
      </c>
      <c r="S37" s="1785" t="s">
        <v>857</v>
      </c>
      <c r="T37" s="762">
        <f>U37+Y37+AC37+AG37+AK37</f>
        <v>20</v>
      </c>
      <c r="U37" s="763">
        <f>V37+W37+X37</f>
        <v>2</v>
      </c>
      <c r="V37" s="768">
        <v>0</v>
      </c>
      <c r="W37" s="768">
        <v>0</v>
      </c>
      <c r="X37" s="768">
        <v>2</v>
      </c>
      <c r="Y37" s="763">
        <f>Z37+AA37+AB37</f>
        <v>3</v>
      </c>
      <c r="Z37" s="768"/>
      <c r="AA37" s="768"/>
      <c r="AB37" s="768">
        <v>3</v>
      </c>
      <c r="AC37" s="763">
        <f>AD37+AE37+AF37</f>
        <v>5</v>
      </c>
      <c r="AD37" s="768"/>
      <c r="AE37" s="768"/>
      <c r="AF37" s="768">
        <v>5</v>
      </c>
      <c r="AG37" s="763">
        <f>AH37+AI37+AJ37</f>
        <v>5</v>
      </c>
      <c r="AH37" s="768"/>
      <c r="AI37" s="768"/>
      <c r="AJ37" s="768">
        <v>5</v>
      </c>
      <c r="AK37" s="763">
        <f>AL37+AM37+AN37</f>
        <v>5</v>
      </c>
      <c r="AL37" s="768"/>
      <c r="AM37" s="768"/>
      <c r="AN37" s="768">
        <v>5</v>
      </c>
    </row>
    <row r="38" spans="18:40" ht="27">
      <c r="R38" s="1784"/>
      <c r="S38" s="1785"/>
      <c r="T38" s="762"/>
      <c r="U38" s="764" t="s">
        <v>825</v>
      </c>
      <c r="V38" s="769"/>
      <c r="W38" s="769"/>
      <c r="X38" s="770" t="s">
        <v>841</v>
      </c>
      <c r="Y38" s="764" t="s">
        <v>825</v>
      </c>
      <c r="Z38" s="769"/>
      <c r="AA38" s="769"/>
      <c r="AB38" s="770" t="s">
        <v>841</v>
      </c>
      <c r="AC38" s="764" t="s">
        <v>825</v>
      </c>
      <c r="AD38" s="769"/>
      <c r="AE38" s="769"/>
      <c r="AF38" s="770" t="s">
        <v>841</v>
      </c>
      <c r="AG38" s="764" t="s">
        <v>825</v>
      </c>
      <c r="AH38" s="769"/>
      <c r="AI38" s="769"/>
      <c r="AJ38" s="770" t="s">
        <v>841</v>
      </c>
      <c r="AK38" s="764" t="s">
        <v>825</v>
      </c>
      <c r="AL38" s="769"/>
      <c r="AM38" s="769"/>
      <c r="AN38" s="770" t="s">
        <v>841</v>
      </c>
    </row>
    <row r="39" spans="18:40" ht="18.75">
      <c r="R39" s="1784">
        <v>8</v>
      </c>
      <c r="S39" s="1785" t="s">
        <v>858</v>
      </c>
      <c r="T39" s="762">
        <f>U39+Y39+AC39+AG39+AK39</f>
        <v>65</v>
      </c>
      <c r="U39" s="763">
        <f>V39+W39+X39</f>
        <v>10</v>
      </c>
      <c r="V39" s="768">
        <v>0</v>
      </c>
      <c r="W39" s="768">
        <v>0</v>
      </c>
      <c r="X39" s="768">
        <v>10</v>
      </c>
      <c r="Y39" s="763">
        <f>Z39+AA39+AB39</f>
        <v>10</v>
      </c>
      <c r="Z39" s="768"/>
      <c r="AA39" s="768"/>
      <c r="AB39" s="768">
        <v>10</v>
      </c>
      <c r="AC39" s="763">
        <f>AD39+AE39+AF39</f>
        <v>15</v>
      </c>
      <c r="AD39" s="768"/>
      <c r="AE39" s="768"/>
      <c r="AF39" s="768">
        <v>15</v>
      </c>
      <c r="AG39" s="763">
        <f>AH39+AI39+AJ39</f>
        <v>15</v>
      </c>
      <c r="AH39" s="768"/>
      <c r="AI39" s="768"/>
      <c r="AJ39" s="768">
        <v>15</v>
      </c>
      <c r="AK39" s="763">
        <f>AL39+AM39+AN39</f>
        <v>15</v>
      </c>
      <c r="AL39" s="768"/>
      <c r="AM39" s="768"/>
      <c r="AN39" s="768">
        <v>15</v>
      </c>
    </row>
    <row r="40" spans="18:40" ht="27">
      <c r="R40" s="1784"/>
      <c r="S40" s="1785"/>
      <c r="T40" s="762"/>
      <c r="U40" s="764" t="s">
        <v>825</v>
      </c>
      <c r="V40" s="769"/>
      <c r="W40" s="769"/>
      <c r="X40" s="770" t="s">
        <v>859</v>
      </c>
      <c r="Y40" s="764" t="s">
        <v>825</v>
      </c>
      <c r="Z40" s="769"/>
      <c r="AA40" s="769"/>
      <c r="AB40" s="770" t="s">
        <v>859</v>
      </c>
      <c r="AC40" s="764" t="s">
        <v>825</v>
      </c>
      <c r="AD40" s="769"/>
      <c r="AE40" s="769"/>
      <c r="AF40" s="770" t="s">
        <v>860</v>
      </c>
      <c r="AG40" s="764" t="s">
        <v>825</v>
      </c>
      <c r="AH40" s="769"/>
      <c r="AI40" s="769"/>
      <c r="AJ40" s="770" t="s">
        <v>860</v>
      </c>
      <c r="AK40" s="764" t="s">
        <v>825</v>
      </c>
      <c r="AL40" s="769"/>
      <c r="AM40" s="769"/>
      <c r="AN40" s="770" t="s">
        <v>860</v>
      </c>
    </row>
    <row r="41" spans="18:40" ht="18.75">
      <c r="R41" s="1784">
        <v>9</v>
      </c>
      <c r="S41" s="1785" t="s">
        <v>861</v>
      </c>
      <c r="T41" s="762">
        <f>U41+Y41+AC41+AG41+AK41</f>
        <v>5</v>
      </c>
      <c r="U41" s="763">
        <f>V41+W41+X41</f>
        <v>2</v>
      </c>
      <c r="V41" s="768">
        <v>0</v>
      </c>
      <c r="W41" s="768">
        <v>2</v>
      </c>
      <c r="X41" s="768">
        <v>0</v>
      </c>
      <c r="Y41" s="763">
        <f>Z41+AA41+AB41</f>
        <v>2</v>
      </c>
      <c r="Z41" s="768"/>
      <c r="AA41" s="768">
        <v>2</v>
      </c>
      <c r="AB41" s="768">
        <v>0</v>
      </c>
      <c r="AC41" s="763">
        <f>AD41+AE41+AF41</f>
        <v>1</v>
      </c>
      <c r="AD41" s="768">
        <v>0</v>
      </c>
      <c r="AE41" s="768">
        <v>1</v>
      </c>
      <c r="AF41" s="768">
        <v>0</v>
      </c>
      <c r="AG41" s="763">
        <f>AH41+AI41+AJ41</f>
        <v>0</v>
      </c>
      <c r="AH41" s="768">
        <v>0</v>
      </c>
      <c r="AI41" s="768">
        <v>0</v>
      </c>
      <c r="AJ41" s="768">
        <v>0</v>
      </c>
      <c r="AK41" s="763">
        <f>AL41+AM41+AN41</f>
        <v>0</v>
      </c>
      <c r="AL41" s="768">
        <v>0</v>
      </c>
      <c r="AM41" s="768">
        <v>0</v>
      </c>
      <c r="AN41" s="768">
        <v>0</v>
      </c>
    </row>
    <row r="42" spans="18:40" ht="27">
      <c r="R42" s="1784"/>
      <c r="S42" s="1785"/>
      <c r="T42" s="762"/>
      <c r="U42" s="764" t="s">
        <v>825</v>
      </c>
      <c r="V42" s="769"/>
      <c r="W42" s="770" t="s">
        <v>862</v>
      </c>
      <c r="X42" s="769"/>
      <c r="Y42" s="764" t="s">
        <v>825</v>
      </c>
      <c r="Z42" s="769"/>
      <c r="AA42" s="770" t="s">
        <v>862</v>
      </c>
      <c r="AB42" s="770"/>
      <c r="AC42" s="764" t="s">
        <v>825</v>
      </c>
      <c r="AD42" s="769"/>
      <c r="AE42" s="770" t="s">
        <v>862</v>
      </c>
      <c r="AF42" s="770"/>
      <c r="AG42" s="764" t="s">
        <v>825</v>
      </c>
      <c r="AH42" s="769"/>
      <c r="AI42" s="770"/>
      <c r="AJ42" s="770"/>
      <c r="AK42" s="764" t="s">
        <v>825</v>
      </c>
      <c r="AL42" s="769"/>
      <c r="AM42" s="770"/>
      <c r="AN42" s="770"/>
    </row>
    <row r="43" spans="18:40" ht="18.75">
      <c r="R43" s="1784">
        <v>10</v>
      </c>
      <c r="S43" s="1785" t="s">
        <v>863</v>
      </c>
      <c r="T43" s="762">
        <f>U43+Y43+AC43+AG43+AK43</f>
        <v>240</v>
      </c>
      <c r="U43" s="763">
        <f>V43+W43+X43</f>
        <v>20</v>
      </c>
      <c r="V43" s="771">
        <v>0</v>
      </c>
      <c r="W43" s="771">
        <v>0</v>
      </c>
      <c r="X43" s="771">
        <v>20</v>
      </c>
      <c r="Y43" s="763">
        <f>Z43+AA43+AB43</f>
        <v>30</v>
      </c>
      <c r="Z43" s="771"/>
      <c r="AA43" s="771"/>
      <c r="AB43" s="771">
        <v>30</v>
      </c>
      <c r="AC43" s="763">
        <f>AD43+AE43+AF43</f>
        <v>40</v>
      </c>
      <c r="AD43" s="771"/>
      <c r="AE43" s="771"/>
      <c r="AF43" s="771">
        <v>40</v>
      </c>
      <c r="AG43" s="763">
        <f>AH43+AI43+AJ43</f>
        <v>70</v>
      </c>
      <c r="AH43" s="771"/>
      <c r="AI43" s="771"/>
      <c r="AJ43" s="771">
        <v>70</v>
      </c>
      <c r="AK43" s="763">
        <f>AL43+AM43+AN43</f>
        <v>80</v>
      </c>
      <c r="AL43" s="771"/>
      <c r="AM43" s="771"/>
      <c r="AN43" s="768">
        <v>80</v>
      </c>
    </row>
    <row r="44" spans="18:40" ht="27">
      <c r="R44" s="1784"/>
      <c r="S44" s="1785"/>
      <c r="T44" s="762"/>
      <c r="U44" s="764" t="s">
        <v>825</v>
      </c>
      <c r="V44" s="772"/>
      <c r="W44" s="773"/>
      <c r="X44" s="774" t="s">
        <v>864</v>
      </c>
      <c r="Y44" s="764" t="s">
        <v>825</v>
      </c>
      <c r="Z44" s="772"/>
      <c r="AA44" s="773"/>
      <c r="AB44" s="774" t="s">
        <v>864</v>
      </c>
      <c r="AC44" s="764" t="s">
        <v>825</v>
      </c>
      <c r="AD44" s="772"/>
      <c r="AE44" s="773"/>
      <c r="AF44" s="774" t="s">
        <v>864</v>
      </c>
      <c r="AG44" s="764" t="s">
        <v>825</v>
      </c>
      <c r="AH44" s="772"/>
      <c r="AI44" s="773"/>
      <c r="AJ44" s="774" t="s">
        <v>864</v>
      </c>
      <c r="AK44" s="764" t="s">
        <v>825</v>
      </c>
      <c r="AL44" s="772"/>
      <c r="AM44" s="773"/>
      <c r="AN44" s="774" t="s">
        <v>864</v>
      </c>
    </row>
    <row r="45" spans="18:40" ht="18.75">
      <c r="R45" s="1784">
        <v>11</v>
      </c>
      <c r="S45" s="1785" t="s">
        <v>865</v>
      </c>
      <c r="T45" s="762">
        <f>U45+Y45+AC45+AG45+AK45</f>
        <v>50</v>
      </c>
      <c r="U45" s="763">
        <f>V45+W45+X45</f>
        <v>10</v>
      </c>
      <c r="V45" s="771">
        <v>0</v>
      </c>
      <c r="W45" s="771">
        <v>0</v>
      </c>
      <c r="X45" s="771">
        <v>10</v>
      </c>
      <c r="Y45" s="763">
        <f>Z45+AA45+AB45</f>
        <v>10</v>
      </c>
      <c r="Z45" s="771"/>
      <c r="AA45" s="771"/>
      <c r="AB45" s="771">
        <v>10</v>
      </c>
      <c r="AC45" s="763">
        <f>AD45+AE45+AF45</f>
        <v>10</v>
      </c>
      <c r="AD45" s="771"/>
      <c r="AE45" s="771"/>
      <c r="AF45" s="771">
        <v>10</v>
      </c>
      <c r="AG45" s="763">
        <f>AH45+AI45+AJ45</f>
        <v>10</v>
      </c>
      <c r="AH45" s="771"/>
      <c r="AI45" s="771"/>
      <c r="AJ45" s="771">
        <v>10</v>
      </c>
      <c r="AK45" s="763">
        <f>AL45+AM45+AN45</f>
        <v>10</v>
      </c>
      <c r="AL45" s="771"/>
      <c r="AM45" s="771"/>
      <c r="AN45" s="771">
        <v>10</v>
      </c>
    </row>
    <row r="46" spans="18:40" ht="27">
      <c r="R46" s="1784"/>
      <c r="S46" s="1785"/>
      <c r="T46" s="762"/>
      <c r="U46" s="764" t="s">
        <v>825</v>
      </c>
      <c r="V46" s="772"/>
      <c r="W46" s="773"/>
      <c r="X46" s="774" t="s">
        <v>866</v>
      </c>
      <c r="Y46" s="764" t="s">
        <v>825</v>
      </c>
      <c r="Z46" s="772"/>
      <c r="AA46" s="773"/>
      <c r="AB46" s="774" t="s">
        <v>866</v>
      </c>
      <c r="AC46" s="764" t="s">
        <v>825</v>
      </c>
      <c r="AD46" s="772"/>
      <c r="AE46" s="773"/>
      <c r="AF46" s="774" t="s">
        <v>866</v>
      </c>
      <c r="AG46" s="764" t="s">
        <v>825</v>
      </c>
      <c r="AH46" s="772"/>
      <c r="AI46" s="773"/>
      <c r="AJ46" s="774" t="s">
        <v>866</v>
      </c>
      <c r="AK46" s="764" t="s">
        <v>825</v>
      </c>
      <c r="AL46" s="772"/>
      <c r="AM46" s="773"/>
      <c r="AN46" s="774" t="s">
        <v>866</v>
      </c>
    </row>
    <row r="47" spans="18:40" ht="18.75">
      <c r="R47" s="757"/>
      <c r="S47" s="775" t="s">
        <v>867</v>
      </c>
      <c r="T47" s="760">
        <f>T24+T15</f>
        <v>2500</v>
      </c>
      <c r="U47" s="776">
        <f>U24+U15</f>
        <v>424</v>
      </c>
      <c r="V47" s="776">
        <f aca="true" t="shared" si="2" ref="V47:AN47">V24+V15</f>
        <v>250</v>
      </c>
      <c r="W47" s="776">
        <f t="shared" si="2"/>
        <v>102</v>
      </c>
      <c r="X47" s="776">
        <f t="shared" si="2"/>
        <v>72</v>
      </c>
      <c r="Y47" s="776">
        <f t="shared" si="2"/>
        <v>430</v>
      </c>
      <c r="Z47" s="776">
        <f t="shared" si="2"/>
        <v>200</v>
      </c>
      <c r="AA47" s="776">
        <f t="shared" si="2"/>
        <v>152</v>
      </c>
      <c r="AB47" s="776">
        <f t="shared" si="2"/>
        <v>78</v>
      </c>
      <c r="AC47" s="776">
        <f t="shared" si="2"/>
        <v>510</v>
      </c>
      <c r="AD47" s="776">
        <f t="shared" si="2"/>
        <v>250</v>
      </c>
      <c r="AE47" s="776">
        <f t="shared" si="2"/>
        <v>166</v>
      </c>
      <c r="AF47" s="776">
        <f t="shared" si="2"/>
        <v>94</v>
      </c>
      <c r="AG47" s="776">
        <f t="shared" si="2"/>
        <v>553</v>
      </c>
      <c r="AH47" s="776">
        <f t="shared" si="2"/>
        <v>250</v>
      </c>
      <c r="AI47" s="776">
        <f t="shared" si="2"/>
        <v>180</v>
      </c>
      <c r="AJ47" s="776">
        <f t="shared" si="2"/>
        <v>123</v>
      </c>
      <c r="AK47" s="776">
        <f t="shared" si="2"/>
        <v>583</v>
      </c>
      <c r="AL47" s="776">
        <f t="shared" si="2"/>
        <v>250</v>
      </c>
      <c r="AM47" s="776">
        <f t="shared" si="2"/>
        <v>200</v>
      </c>
      <c r="AN47" s="776">
        <f t="shared" si="2"/>
        <v>133</v>
      </c>
    </row>
    <row r="48" spans="18:40" ht="18.75">
      <c r="R48" s="777"/>
      <c r="S48" s="778"/>
      <c r="T48" s="778"/>
      <c r="U48" s="777"/>
      <c r="V48" s="779"/>
      <c r="W48" s="777"/>
      <c r="X48" s="777"/>
      <c r="Y48" s="777"/>
      <c r="Z48" s="777"/>
      <c r="AA48" s="777"/>
      <c r="AB48" s="777"/>
      <c r="AC48" s="777"/>
      <c r="AD48" s="777"/>
      <c r="AE48" s="777"/>
      <c r="AF48" s="780"/>
      <c r="AG48" s="777"/>
      <c r="AH48" s="777"/>
      <c r="AI48" s="777"/>
      <c r="AJ48" s="777"/>
      <c r="AK48" s="777"/>
      <c r="AL48" s="777"/>
      <c r="AM48" s="777"/>
      <c r="AN48" s="777"/>
    </row>
    <row r="49" spans="18:40" ht="18.75">
      <c r="R49" s="781"/>
      <c r="S49" s="777">
        <v>1</v>
      </c>
      <c r="T49" s="777" t="s">
        <v>868</v>
      </c>
      <c r="U49" s="781"/>
      <c r="V49" s="781"/>
      <c r="W49" s="781"/>
      <c r="X49" s="783" t="s">
        <v>413</v>
      </c>
      <c r="Y49" s="781"/>
      <c r="Z49" s="781"/>
      <c r="AA49" s="781"/>
      <c r="AB49" s="781"/>
      <c r="AC49" s="781"/>
      <c r="AD49" s="781"/>
      <c r="AE49" s="781"/>
      <c r="AF49" s="782"/>
      <c r="AG49" s="782"/>
      <c r="AH49" s="781"/>
      <c r="AI49" s="781"/>
      <c r="AJ49" s="781"/>
      <c r="AK49" s="781"/>
      <c r="AL49" s="781"/>
      <c r="AM49" s="781"/>
      <c r="AN49" s="781"/>
    </row>
    <row r="50" spans="18:40" ht="18.75">
      <c r="R50" s="781"/>
      <c r="S50" s="781"/>
      <c r="T50" s="784" t="s">
        <v>869</v>
      </c>
      <c r="U50" s="781"/>
      <c r="V50" s="781"/>
      <c r="W50" s="781"/>
      <c r="X50" s="785">
        <f>V47+Z47+AD47+AH47+AL47</f>
        <v>1200</v>
      </c>
      <c r="Y50" s="781"/>
      <c r="Z50" s="1140"/>
      <c r="AA50" s="781"/>
      <c r="AB50" s="781"/>
      <c r="AC50" s="781"/>
      <c r="AD50" s="781"/>
      <c r="AE50" s="781"/>
      <c r="AF50" s="782"/>
      <c r="AG50" s="782"/>
      <c r="AH50" s="781"/>
      <c r="AI50" s="781"/>
      <c r="AJ50" s="781"/>
      <c r="AK50" s="781"/>
      <c r="AL50" s="781"/>
      <c r="AM50" s="781"/>
      <c r="AN50" s="781"/>
    </row>
    <row r="51" spans="18:40" ht="18.75">
      <c r="R51" s="781"/>
      <c r="S51" s="781"/>
      <c r="T51" s="784" t="s">
        <v>803</v>
      </c>
      <c r="U51" s="781"/>
      <c r="V51" s="781"/>
      <c r="W51" s="781"/>
      <c r="X51" s="785">
        <f>W47+AA47+AE47+AI47+AM47</f>
        <v>800</v>
      </c>
      <c r="Y51" s="781"/>
      <c r="Z51" s="1140"/>
      <c r="AA51" s="1140"/>
      <c r="AB51" s="781"/>
      <c r="AC51" s="781"/>
      <c r="AD51" s="781"/>
      <c r="AE51" s="781"/>
      <c r="AF51" s="782"/>
      <c r="AG51" s="781"/>
      <c r="AH51" s="781"/>
      <c r="AI51" s="781"/>
      <c r="AJ51" s="781"/>
      <c r="AK51" s="781"/>
      <c r="AL51" s="781"/>
      <c r="AM51" s="781"/>
      <c r="AN51" s="781"/>
    </row>
    <row r="52" spans="18:40" ht="18.75">
      <c r="R52" s="781"/>
      <c r="S52" s="781"/>
      <c r="T52" s="784" t="s">
        <v>804</v>
      </c>
      <c r="U52" s="781"/>
      <c r="V52" s="781"/>
      <c r="W52" s="781"/>
      <c r="X52" s="785">
        <f>X47+AB47+AF47+AJ47+AN47</f>
        <v>500</v>
      </c>
      <c r="Y52" s="781"/>
      <c r="Z52" s="1140"/>
      <c r="AA52" s="781"/>
      <c r="AB52" s="781"/>
      <c r="AC52" s="781"/>
      <c r="AD52" s="781"/>
      <c r="AE52" s="781"/>
      <c r="AF52" s="782"/>
      <c r="AG52" s="781"/>
      <c r="AH52" s="781"/>
      <c r="AI52" s="781"/>
      <c r="AJ52" s="781"/>
      <c r="AK52" s="781"/>
      <c r="AL52" s="781"/>
      <c r="AM52" s="781"/>
      <c r="AN52" s="781"/>
    </row>
    <row r="53" spans="18:40" ht="18.75">
      <c r="R53" s="781"/>
      <c r="S53" s="781"/>
      <c r="T53" s="778" t="s">
        <v>819</v>
      </c>
      <c r="U53" s="781"/>
      <c r="V53" s="781"/>
      <c r="W53" s="781"/>
      <c r="X53" s="786">
        <f>SUM(X50:X52)</f>
        <v>2500</v>
      </c>
      <c r="Y53" s="786"/>
      <c r="Z53" s="1140"/>
      <c r="AA53" s="781"/>
      <c r="AB53" s="781"/>
      <c r="AC53" s="781"/>
      <c r="AD53" s="781"/>
      <c r="AE53" s="781"/>
      <c r="AF53" s="787"/>
      <c r="AG53" s="781"/>
      <c r="AH53" s="781"/>
      <c r="AI53" s="781"/>
      <c r="AJ53" s="781"/>
      <c r="AK53" s="781"/>
      <c r="AL53" s="781"/>
      <c r="AM53" s="781"/>
      <c r="AN53" s="781"/>
    </row>
    <row r="54" spans="18:40" ht="18.75">
      <c r="R54" s="781"/>
      <c r="S54" s="777">
        <v>2</v>
      </c>
      <c r="T54" s="777" t="s">
        <v>870</v>
      </c>
      <c r="U54" s="781"/>
      <c r="V54" s="781"/>
      <c r="W54" s="781"/>
      <c r="X54" s="788" t="s">
        <v>413</v>
      </c>
      <c r="Y54" s="781" t="s">
        <v>86</v>
      </c>
      <c r="Z54" s="781" t="s">
        <v>998</v>
      </c>
      <c r="AA54" s="781"/>
      <c r="AB54" s="781"/>
      <c r="AC54" s="781"/>
      <c r="AD54" s="781"/>
      <c r="AE54" s="781"/>
      <c r="AF54" s="781"/>
      <c r="AG54" s="781"/>
      <c r="AH54" s="781"/>
      <c r="AI54" s="781"/>
      <c r="AJ54" s="781"/>
      <c r="AK54" s="781"/>
      <c r="AL54" s="781"/>
      <c r="AM54" s="781"/>
      <c r="AN54" s="781"/>
    </row>
    <row r="55" spans="18:40" ht="18.75">
      <c r="R55" s="781"/>
      <c r="S55" s="781"/>
      <c r="T55" s="784" t="s">
        <v>871</v>
      </c>
      <c r="U55" s="781"/>
      <c r="V55" s="781"/>
      <c r="W55" s="781"/>
      <c r="X55" s="789">
        <f>W41+AA41+AE41+V20+W18+AA18+V16+W16+Z16+AA16+AD16+AE16+AH16+AI16+AL16+AM16</f>
        <v>950</v>
      </c>
      <c r="Y55" s="1140">
        <f>V16+Z16+AD16+AH16+AL16+V20</f>
        <v>500</v>
      </c>
      <c r="Z55" s="1140">
        <f>T41+W18+AA18++W16+AA16+AE16+AI16+AM16</f>
        <v>450</v>
      </c>
      <c r="AA55" s="781"/>
      <c r="AB55" s="1140">
        <f>SUM(Y55:AA55)</f>
        <v>950</v>
      </c>
      <c r="AC55" s="781"/>
      <c r="AD55" s="781"/>
      <c r="AE55" s="781"/>
      <c r="AF55" s="781"/>
      <c r="AG55" s="781"/>
      <c r="AH55" s="781"/>
      <c r="AI55" s="781"/>
      <c r="AJ55" s="781"/>
      <c r="AK55" s="781"/>
      <c r="AL55" s="781"/>
      <c r="AM55" s="781"/>
      <c r="AN55" s="781"/>
    </row>
    <row r="56" spans="18:40" ht="18.75">
      <c r="R56" s="781"/>
      <c r="S56" s="781"/>
      <c r="T56" s="784" t="s">
        <v>872</v>
      </c>
      <c r="U56" s="781"/>
      <c r="V56" s="781"/>
      <c r="W56" s="781"/>
      <c r="X56" s="789">
        <f>T47-X55</f>
        <v>1550</v>
      </c>
      <c r="Y56" s="1140">
        <f>X50-Y55</f>
        <v>700</v>
      </c>
      <c r="Z56" s="1140">
        <f>X51-Z55</f>
        <v>350</v>
      </c>
      <c r="AA56" s="1140">
        <f>X52</f>
        <v>500</v>
      </c>
      <c r="AB56" s="1140">
        <f>SUM(Y56:AA56)</f>
        <v>1550</v>
      </c>
      <c r="AC56" s="781"/>
      <c r="AD56" s="781"/>
      <c r="AE56" s="781"/>
      <c r="AF56" s="781"/>
      <c r="AG56" s="781"/>
      <c r="AH56" s="781"/>
      <c r="AI56" s="781"/>
      <c r="AJ56" s="781"/>
      <c r="AK56" s="781"/>
      <c r="AL56" s="781"/>
      <c r="AM56" s="781"/>
      <c r="AN56" s="781"/>
    </row>
    <row r="57" spans="18:40" ht="18.75">
      <c r="R57"/>
      <c r="S57"/>
      <c r="T57" s="778" t="s">
        <v>819</v>
      </c>
      <c r="U57" s="781"/>
      <c r="V57" s="781"/>
      <c r="W57" s="781"/>
      <c r="X57" s="790">
        <f>X56+X55</f>
        <v>2500</v>
      </c>
      <c r="Y57" s="781"/>
      <c r="Z57" s="781"/>
      <c r="AA57" s="781"/>
      <c r="AB57" s="1140">
        <f>AB56+AB55</f>
        <v>2500</v>
      </c>
      <c r="AC57" s="781"/>
      <c r="AD57" s="781"/>
      <c r="AE57" s="781"/>
      <c r="AF57" s="781"/>
      <c r="AG57" s="781"/>
      <c r="AH57" s="781"/>
      <c r="AI57" s="781"/>
      <c r="AJ57" s="781"/>
      <c r="AK57" s="781"/>
      <c r="AL57" s="781"/>
      <c r="AM57"/>
      <c r="AN57"/>
    </row>
    <row r="58" spans="18:40" ht="18.75"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</row>
    <row r="59" spans="18:40" ht="18.75"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</row>
    <row r="60" spans="18:25" ht="18.75">
      <c r="R60"/>
      <c r="S60"/>
      <c r="T60"/>
      <c r="U60"/>
      <c r="V60"/>
      <c r="W60"/>
      <c r="X60"/>
      <c r="Y60"/>
    </row>
    <row r="61" spans="18:25" ht="18.75">
      <c r="R61" s="1783" t="s">
        <v>873</v>
      </c>
      <c r="S61" s="1783"/>
      <c r="T61" s="1783"/>
      <c r="U61" s="1783"/>
      <c r="V61" s="1783"/>
      <c r="W61" s="1783"/>
      <c r="X61" s="1783"/>
      <c r="Y61" s="1783"/>
    </row>
    <row r="62" spans="18:25" ht="18.75">
      <c r="R62" s="746"/>
      <c r="S62" s="746"/>
      <c r="T62" s="746"/>
      <c r="U62" s="746"/>
      <c r="V62" s="746"/>
      <c r="W62" s="746"/>
      <c r="X62" s="746"/>
      <c r="Y62" s="746" t="s">
        <v>874</v>
      </c>
    </row>
    <row r="63" spans="18:25" ht="18.75">
      <c r="R63" s="749" t="s">
        <v>86</v>
      </c>
      <c r="S63" s="749" t="s">
        <v>875</v>
      </c>
      <c r="T63" s="749" t="s">
        <v>809</v>
      </c>
      <c r="U63" s="749" t="s">
        <v>810</v>
      </c>
      <c r="V63" s="749" t="s">
        <v>811</v>
      </c>
      <c r="W63" s="749" t="s">
        <v>812</v>
      </c>
      <c r="X63" s="749" t="s">
        <v>813</v>
      </c>
      <c r="Y63" s="791"/>
    </row>
    <row r="64" spans="18:25" ht="18.75">
      <c r="R64" s="792">
        <v>1</v>
      </c>
      <c r="S64" s="792" t="s">
        <v>876</v>
      </c>
      <c r="T64" s="793">
        <v>6037</v>
      </c>
      <c r="U64" s="793">
        <v>7244.4</v>
      </c>
      <c r="V64" s="793">
        <v>6640.7</v>
      </c>
      <c r="W64" s="793">
        <v>7848.1</v>
      </c>
      <c r="X64" s="793">
        <v>9055.5</v>
      </c>
      <c r="Y64" s="794"/>
    </row>
    <row r="65" spans="18:25" ht="18.75">
      <c r="R65" s="795"/>
      <c r="S65" s="751" t="s">
        <v>601</v>
      </c>
      <c r="T65" s="796">
        <v>100</v>
      </c>
      <c r="U65" s="796">
        <v>120</v>
      </c>
      <c r="V65" s="796">
        <v>110</v>
      </c>
      <c r="W65" s="796">
        <v>130</v>
      </c>
      <c r="X65" s="796">
        <v>150</v>
      </c>
      <c r="Y65" s="797"/>
    </row>
    <row r="66" spans="18:25" ht="18.75">
      <c r="R66" s="795"/>
      <c r="S66" s="751" t="s">
        <v>877</v>
      </c>
      <c r="T66" s="796">
        <v>6037</v>
      </c>
      <c r="U66" s="796">
        <v>7244.4</v>
      </c>
      <c r="V66" s="796">
        <v>6640.7</v>
      </c>
      <c r="W66" s="796">
        <v>7848.1</v>
      </c>
      <c r="X66" s="796">
        <v>9055.5</v>
      </c>
      <c r="Y66" s="797"/>
    </row>
  </sheetData>
  <sheetProtection/>
  <mergeCells count="43">
    <mergeCell ref="AE1:AF1"/>
    <mergeCell ref="R2:AN2"/>
    <mergeCell ref="R4:Y4"/>
    <mergeCell ref="R11:AN11"/>
    <mergeCell ref="R13:R14"/>
    <mergeCell ref="S13:S14"/>
    <mergeCell ref="T13:T14"/>
    <mergeCell ref="U13:X13"/>
    <mergeCell ref="Y13:AB13"/>
    <mergeCell ref="AC13:AF13"/>
    <mergeCell ref="AG13:AJ13"/>
    <mergeCell ref="AK13:AN13"/>
    <mergeCell ref="R20:R21"/>
    <mergeCell ref="S20:S21"/>
    <mergeCell ref="R16:R17"/>
    <mergeCell ref="S16:S17"/>
    <mergeCell ref="R18:R19"/>
    <mergeCell ref="S18:S19"/>
    <mergeCell ref="R22:R23"/>
    <mergeCell ref="S22:S23"/>
    <mergeCell ref="R25:R26"/>
    <mergeCell ref="S25:S26"/>
    <mergeCell ref="R27:R28"/>
    <mergeCell ref="S27:S28"/>
    <mergeCell ref="R29:R30"/>
    <mergeCell ref="S29:S30"/>
    <mergeCell ref="R31:R32"/>
    <mergeCell ref="S31:S32"/>
    <mergeCell ref="R33:R34"/>
    <mergeCell ref="S33:S34"/>
    <mergeCell ref="R35:R36"/>
    <mergeCell ref="S35:S36"/>
    <mergeCell ref="R37:R38"/>
    <mergeCell ref="S37:S38"/>
    <mergeCell ref="R45:R46"/>
    <mergeCell ref="S45:S46"/>
    <mergeCell ref="R61:Y61"/>
    <mergeCell ref="R39:R40"/>
    <mergeCell ref="S39:S40"/>
    <mergeCell ref="R41:R42"/>
    <mergeCell ref="S41:S42"/>
    <mergeCell ref="R43:R44"/>
    <mergeCell ref="S43:S44"/>
  </mergeCells>
  <printOptions horizontalCentered="1"/>
  <pageMargins left="0" right="0" top="0.5905511811023623" bottom="0.3937007874015748" header="0.5118110236220472" footer="0.35433070866141736"/>
  <pageSetup fitToHeight="0" horizontalDpi="600" verticalDpi="600" orientation="landscape" paperSize="9" scale="50" r:id="rId1"/>
  <headerFooter alignWithMargins="0">
    <oddFooter>&amp;R&amp;"Times New Roman,Regular"&amp;12&amp;P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X43"/>
  <sheetViews>
    <sheetView zoomScale="82" zoomScaleNormal="82" zoomScalePageLayoutView="0" workbookViewId="0" topLeftCell="A13">
      <selection activeCell="A4" sqref="A4:P4"/>
    </sheetView>
  </sheetViews>
  <sheetFormatPr defaultColWidth="9.140625" defaultRowHeight="12.75"/>
  <cols>
    <col min="1" max="1" width="64.28125" style="638" customWidth="1"/>
    <col min="2" max="2" width="17.421875" style="637" customWidth="1"/>
    <col min="3" max="3" width="17.140625" style="638" customWidth="1"/>
    <col min="4" max="7" width="14.57421875" style="638" customWidth="1"/>
    <col min="8" max="8" width="16.8515625" style="638" customWidth="1"/>
    <col min="9" max="9" width="17.140625" style="638" customWidth="1"/>
    <col min="10" max="10" width="0.5625" style="638" customWidth="1"/>
    <col min="11" max="11" width="7.8515625" style="638" hidden="1" customWidth="1"/>
    <col min="12" max="12" width="6.140625" style="638" hidden="1" customWidth="1"/>
    <col min="13" max="16" width="6.8515625" style="638" hidden="1" customWidth="1"/>
    <col min="17" max="17" width="7.421875" style="638" hidden="1" customWidth="1"/>
    <col min="18" max="19" width="6.28125" style="638" hidden="1" customWidth="1"/>
    <col min="20" max="22" width="6.140625" style="638" hidden="1" customWidth="1"/>
    <col min="23" max="23" width="22.00390625" style="638" customWidth="1"/>
    <col min="24" max="24" width="19.57421875" style="638" customWidth="1"/>
    <col min="25" max="16384" width="9.140625" style="638" customWidth="1"/>
  </cols>
  <sheetData>
    <row r="1" spans="2:9" s="331" customFormat="1" ht="19.5" customHeight="1">
      <c r="B1" s="347"/>
      <c r="C1" s="739"/>
      <c r="D1" s="348"/>
      <c r="F1" s="365" t="s">
        <v>702</v>
      </c>
      <c r="H1" s="1796" t="s">
        <v>704</v>
      </c>
      <c r="I1" s="1796"/>
    </row>
    <row r="2" spans="2:10" s="331" customFormat="1" ht="19.5" customHeight="1">
      <c r="B2" s="1764" t="s">
        <v>476</v>
      </c>
      <c r="C2" s="1764"/>
      <c r="D2" s="1764"/>
      <c r="E2" s="1764"/>
      <c r="F2" s="1764"/>
      <c r="G2" s="1764"/>
      <c r="H2" s="1764"/>
      <c r="I2" s="1764"/>
      <c r="J2" s="1764"/>
    </row>
    <row r="3" spans="1:10" s="331" customFormat="1" ht="19.5" customHeight="1">
      <c r="A3" s="1765" t="s">
        <v>710</v>
      </c>
      <c r="B3" s="1765"/>
      <c r="C3" s="1765"/>
      <c r="D3" s="1765"/>
      <c r="E3" s="1765"/>
      <c r="F3" s="1765"/>
      <c r="G3" s="1765"/>
      <c r="H3" s="1765"/>
      <c r="I3" s="1765"/>
      <c r="J3" s="1765"/>
    </row>
    <row r="4" spans="1:10" s="331" customFormat="1" ht="19.5" customHeight="1">
      <c r="A4" s="1765" t="s">
        <v>711</v>
      </c>
      <c r="B4" s="1765"/>
      <c r="C4" s="1765"/>
      <c r="D4" s="1765"/>
      <c r="E4" s="1765"/>
      <c r="F4" s="1765"/>
      <c r="G4" s="1765"/>
      <c r="H4" s="1765"/>
      <c r="I4" s="1765"/>
      <c r="J4" s="1765"/>
    </row>
    <row r="5" ht="15.75" customHeight="1"/>
    <row r="6" spans="1:22" s="640" customFormat="1" ht="87.75" customHeight="1">
      <c r="A6" s="406" t="s">
        <v>211</v>
      </c>
      <c r="B6" s="406" t="s">
        <v>104</v>
      </c>
      <c r="C6" s="740" t="s">
        <v>701</v>
      </c>
      <c r="D6" s="383" t="s">
        <v>695</v>
      </c>
      <c r="E6" s="383" t="s">
        <v>696</v>
      </c>
      <c r="F6" s="383" t="s">
        <v>697</v>
      </c>
      <c r="G6" s="383" t="s">
        <v>698</v>
      </c>
      <c r="H6" s="383" t="s">
        <v>699</v>
      </c>
      <c r="I6" s="383" t="s">
        <v>700</v>
      </c>
      <c r="J6" s="639"/>
      <c r="L6" s="641">
        <v>2011</v>
      </c>
      <c r="M6" s="641">
        <v>2012</v>
      </c>
      <c r="N6" s="641">
        <v>2013</v>
      </c>
      <c r="O6" s="641">
        <v>2014</v>
      </c>
      <c r="P6" s="641">
        <v>2015</v>
      </c>
      <c r="R6" s="641">
        <v>2011</v>
      </c>
      <c r="S6" s="641">
        <v>2012</v>
      </c>
      <c r="T6" s="641">
        <v>2013</v>
      </c>
      <c r="U6" s="641">
        <v>2014</v>
      </c>
      <c r="V6" s="641">
        <v>2015</v>
      </c>
    </row>
    <row r="7" spans="1:23" s="644" customFormat="1" ht="18.75" customHeight="1">
      <c r="A7" s="628" t="s">
        <v>630</v>
      </c>
      <c r="B7" s="629" t="s">
        <v>293</v>
      </c>
      <c r="C7" s="616">
        <f aca="true" t="shared" si="0" ref="C7:H7">C8+C9</f>
        <v>988.69</v>
      </c>
      <c r="D7" s="616">
        <f t="shared" si="0"/>
        <v>1099.15</v>
      </c>
      <c r="E7" s="616">
        <f t="shared" si="0"/>
        <v>1232.3000000000002</v>
      </c>
      <c r="F7" s="616">
        <f t="shared" si="0"/>
        <v>1451.9</v>
      </c>
      <c r="G7" s="616">
        <f t="shared" si="0"/>
        <v>1662.55</v>
      </c>
      <c r="H7" s="616">
        <f t="shared" si="0"/>
        <v>1860.44</v>
      </c>
      <c r="I7" s="616">
        <f>SUM(D7:H7)/5</f>
        <v>1461.268</v>
      </c>
      <c r="J7" s="642"/>
      <c r="W7" s="607">
        <f aca="true" t="shared" si="1" ref="W7:W30">(C7+E7+F7+G7+H7)/5</f>
        <v>1439.1760000000002</v>
      </c>
    </row>
    <row r="8" spans="1:24" s="636" customFormat="1" ht="18.75">
      <c r="A8" s="630" t="s">
        <v>602</v>
      </c>
      <c r="B8" s="631" t="s">
        <v>293</v>
      </c>
      <c r="C8" s="645">
        <f>'[5]BM3r '!I8</f>
        <v>376.8</v>
      </c>
      <c r="D8" s="645">
        <v>442.2</v>
      </c>
      <c r="E8" s="645">
        <v>522.7</v>
      </c>
      <c r="F8" s="645">
        <v>592.58</v>
      </c>
      <c r="G8" s="645">
        <v>634.55</v>
      </c>
      <c r="H8" s="645">
        <v>684.32</v>
      </c>
      <c r="I8" s="616">
        <f>SUM(D8:H8)/5</f>
        <v>575.27</v>
      </c>
      <c r="J8" s="646"/>
      <c r="W8" s="607">
        <f t="shared" si="1"/>
        <v>562.19</v>
      </c>
      <c r="X8" s="646" t="e">
        <f>#REF!-378</f>
        <v>#REF!</v>
      </c>
    </row>
    <row r="9" spans="1:23" s="644" customFormat="1" ht="18.75" customHeight="1">
      <c r="A9" s="628" t="s">
        <v>603</v>
      </c>
      <c r="B9" s="629" t="s">
        <v>293</v>
      </c>
      <c r="C9" s="645">
        <f>'[5]BM3r '!I9</f>
        <v>611.89</v>
      </c>
      <c r="D9" s="616">
        <v>656.95</v>
      </c>
      <c r="E9" s="616">
        <v>709.6</v>
      </c>
      <c r="F9" s="616">
        <v>859.32</v>
      </c>
      <c r="G9" s="616">
        <v>1028</v>
      </c>
      <c r="H9" s="616">
        <v>1176.12</v>
      </c>
      <c r="I9" s="616">
        <f>SUM(D9:H9)/5</f>
        <v>885.9979999999999</v>
      </c>
      <c r="J9" s="642"/>
      <c r="W9" s="1084">
        <f>D9*10%</f>
        <v>65.69500000000001</v>
      </c>
    </row>
    <row r="10" spans="1:23" s="644" customFormat="1" ht="23.25" customHeight="1">
      <c r="A10" s="628" t="s">
        <v>604</v>
      </c>
      <c r="B10" s="632"/>
      <c r="C10" s="606"/>
      <c r="D10" s="647"/>
      <c r="E10" s="647"/>
      <c r="F10" s="647"/>
      <c r="G10" s="647"/>
      <c r="H10" s="647"/>
      <c r="I10" s="606"/>
      <c r="J10" s="648"/>
      <c r="L10" s="644">
        <f>SUM(L11:L27)</f>
        <v>0</v>
      </c>
      <c r="M10" s="644">
        <f>SUM(M11:M27)</f>
        <v>0</v>
      </c>
      <c r="N10" s="644">
        <f>SUM(N11:N27)</f>
        <v>0.0075</v>
      </c>
      <c r="O10" s="644">
        <f>SUM(O11:O27)</f>
        <v>0.0105</v>
      </c>
      <c r="P10" s="644">
        <f>SUM(P11:P27)</f>
        <v>0.015</v>
      </c>
      <c r="R10" s="644">
        <f>SUM(R11:R27)</f>
        <v>0</v>
      </c>
      <c r="S10" s="644">
        <f>SUM(S11:S27)</f>
        <v>0</v>
      </c>
      <c r="T10" s="644">
        <f>SUM(T11:T27)</f>
        <v>0.02</v>
      </c>
      <c r="U10" s="644">
        <f>SUM(U11:U27)</f>
        <v>0.028</v>
      </c>
      <c r="V10" s="644">
        <f>SUM(V11:V27)</f>
        <v>0.04</v>
      </c>
      <c r="W10" s="607">
        <f>604.9+62.57</f>
        <v>667.47</v>
      </c>
    </row>
    <row r="11" spans="1:23" s="607" customFormat="1" ht="18.75">
      <c r="A11" s="633" t="s">
        <v>605</v>
      </c>
      <c r="B11" s="634" t="s">
        <v>606</v>
      </c>
      <c r="C11" s="606">
        <f>'[5]BM3r '!I12</f>
        <v>335.93</v>
      </c>
      <c r="D11" s="606">
        <v>328</v>
      </c>
      <c r="E11" s="606">
        <f aca="true" t="shared" si="2" ref="E11:H13">D11</f>
        <v>328</v>
      </c>
      <c r="F11" s="606">
        <f t="shared" si="2"/>
        <v>328</v>
      </c>
      <c r="G11" s="606">
        <f t="shared" si="2"/>
        <v>328</v>
      </c>
      <c r="H11" s="606">
        <f t="shared" si="2"/>
        <v>328</v>
      </c>
      <c r="I11" s="606">
        <f>SUM(D11:H11)/5</f>
        <v>328</v>
      </c>
      <c r="J11" s="643"/>
      <c r="W11" s="607">
        <f t="shared" si="1"/>
        <v>329.586</v>
      </c>
    </row>
    <row r="12" spans="1:23" s="607" customFormat="1" ht="18.75">
      <c r="A12" s="635" t="s">
        <v>607</v>
      </c>
      <c r="B12" s="634" t="s">
        <v>608</v>
      </c>
      <c r="C12" s="606">
        <f>'[5]BM3r '!I13</f>
        <v>86.08</v>
      </c>
      <c r="D12" s="606">
        <v>96.08</v>
      </c>
      <c r="E12" s="606">
        <f t="shared" si="2"/>
        <v>96.08</v>
      </c>
      <c r="F12" s="606">
        <f t="shared" si="2"/>
        <v>96.08</v>
      </c>
      <c r="G12" s="606">
        <f t="shared" si="2"/>
        <v>96.08</v>
      </c>
      <c r="H12" s="606">
        <f t="shared" si="2"/>
        <v>96.08</v>
      </c>
      <c r="I12" s="606">
        <f aca="true" t="shared" si="3" ref="I12:I33">SUM(D12:H12)/5</f>
        <v>96.08</v>
      </c>
      <c r="J12" s="643"/>
      <c r="W12" s="607">
        <f t="shared" si="1"/>
        <v>94.08</v>
      </c>
    </row>
    <row r="13" spans="1:23" s="607" customFormat="1" ht="18.75">
      <c r="A13" s="635" t="s">
        <v>609</v>
      </c>
      <c r="B13" s="634" t="s">
        <v>608</v>
      </c>
      <c r="C13" s="606">
        <f>'[5]BM3r '!I14</f>
        <v>240</v>
      </c>
      <c r="D13" s="649">
        <v>260</v>
      </c>
      <c r="E13" s="649">
        <f>D13</f>
        <v>260</v>
      </c>
      <c r="F13" s="649">
        <f t="shared" si="2"/>
        <v>260</v>
      </c>
      <c r="G13" s="649">
        <f t="shared" si="2"/>
        <v>260</v>
      </c>
      <c r="H13" s="649">
        <f t="shared" si="2"/>
        <v>260</v>
      </c>
      <c r="I13" s="606">
        <f t="shared" si="3"/>
        <v>260</v>
      </c>
      <c r="J13" s="643"/>
      <c r="W13" s="607">
        <f t="shared" si="1"/>
        <v>256</v>
      </c>
    </row>
    <row r="14" spans="1:23" s="607" customFormat="1" ht="18.75">
      <c r="A14" s="635" t="s">
        <v>610</v>
      </c>
      <c r="B14" s="634" t="s">
        <v>611</v>
      </c>
      <c r="C14" s="606">
        <f>'[5]BM3r '!$I$15</f>
        <v>17.39</v>
      </c>
      <c r="D14" s="606">
        <v>17.39</v>
      </c>
      <c r="E14" s="606">
        <v>20</v>
      </c>
      <c r="F14" s="606">
        <f>E14</f>
        <v>20</v>
      </c>
      <c r="G14" s="606">
        <f>F14</f>
        <v>20</v>
      </c>
      <c r="H14" s="606">
        <f>G14</f>
        <v>20</v>
      </c>
      <c r="I14" s="606">
        <f t="shared" si="3"/>
        <v>19.478</v>
      </c>
      <c r="J14" s="643"/>
      <c r="W14" s="607">
        <f t="shared" si="1"/>
        <v>19.478</v>
      </c>
    </row>
    <row r="15" spans="1:23" s="607" customFormat="1" ht="18.75">
      <c r="A15" s="635" t="s">
        <v>612</v>
      </c>
      <c r="B15" s="634" t="s">
        <v>783</v>
      </c>
      <c r="C15" s="606" t="e">
        <f>'[5]BM3r '!I16</f>
        <v>#REF!</v>
      </c>
      <c r="D15" s="618"/>
      <c r="E15" s="618"/>
      <c r="F15" s="618">
        <v>5</v>
      </c>
      <c r="G15" s="618">
        <v>7</v>
      </c>
      <c r="H15" s="618">
        <v>10</v>
      </c>
      <c r="I15" s="606">
        <f t="shared" si="3"/>
        <v>4.4</v>
      </c>
      <c r="J15" s="643"/>
      <c r="K15" s="607">
        <v>0.0015</v>
      </c>
      <c r="L15" s="650">
        <f>$K$15*D15</f>
        <v>0</v>
      </c>
      <c r="M15" s="650">
        <f>$K$15*E15</f>
        <v>0</v>
      </c>
      <c r="N15" s="650">
        <f>$K$15*F15</f>
        <v>0.0075</v>
      </c>
      <c r="O15" s="650">
        <f>$K$15*G15</f>
        <v>0.0105</v>
      </c>
      <c r="P15" s="650">
        <f>$K$15*H15</f>
        <v>0.015</v>
      </c>
      <c r="Q15" s="607">
        <v>0.004</v>
      </c>
      <c r="R15" s="651">
        <f>$Q$15*D15</f>
        <v>0</v>
      </c>
      <c r="S15" s="651">
        <f>$Q$15*E15</f>
        <v>0</v>
      </c>
      <c r="T15" s="651">
        <f>$Q$15*F15</f>
        <v>0.02</v>
      </c>
      <c r="U15" s="651">
        <f>$Q$15*G15</f>
        <v>0.028</v>
      </c>
      <c r="V15" s="651">
        <f>$Q$15*H15</f>
        <v>0.04</v>
      </c>
      <c r="W15" s="607" t="e">
        <f t="shared" si="1"/>
        <v>#REF!</v>
      </c>
    </row>
    <row r="16" spans="1:23" s="607" customFormat="1" ht="18.75">
      <c r="A16" s="635" t="s">
        <v>613</v>
      </c>
      <c r="B16" s="634" t="s">
        <v>599</v>
      </c>
      <c r="C16" s="606">
        <f>'[5]BM3r '!$I$17</f>
        <v>72.072</v>
      </c>
      <c r="D16" s="606">
        <v>66.53</v>
      </c>
      <c r="E16" s="606">
        <f>D16</f>
        <v>66.53</v>
      </c>
      <c r="F16" s="606">
        <f>E16</f>
        <v>66.53</v>
      </c>
      <c r="G16" s="606">
        <f>F16</f>
        <v>66.53</v>
      </c>
      <c r="H16" s="606">
        <f>G16</f>
        <v>66.53</v>
      </c>
      <c r="I16" s="606">
        <f t="shared" si="3"/>
        <v>66.53</v>
      </c>
      <c r="J16" s="643"/>
      <c r="W16" s="607">
        <f t="shared" si="1"/>
        <v>67.6384</v>
      </c>
    </row>
    <row r="17" spans="1:23" s="607" customFormat="1" ht="18.75">
      <c r="A17" s="635" t="s">
        <v>614</v>
      </c>
      <c r="B17" s="634" t="s">
        <v>557</v>
      </c>
      <c r="C17" s="606" t="e">
        <f>'[5]BM3r '!I18</f>
        <v>#REF!</v>
      </c>
      <c r="D17" s="606">
        <v>7.87</v>
      </c>
      <c r="E17" s="606">
        <v>8.02</v>
      </c>
      <c r="F17" s="606">
        <v>8.18</v>
      </c>
      <c r="G17" s="606">
        <v>8.35</v>
      </c>
      <c r="H17" s="606">
        <v>8.51</v>
      </c>
      <c r="I17" s="606">
        <f t="shared" si="3"/>
        <v>8.186</v>
      </c>
      <c r="J17" s="643"/>
      <c r="W17" s="607" t="e">
        <f t="shared" si="1"/>
        <v>#REF!</v>
      </c>
    </row>
    <row r="18" spans="1:23" s="607" customFormat="1" ht="18.75">
      <c r="A18" s="635" t="s">
        <v>615</v>
      </c>
      <c r="B18" s="634" t="s">
        <v>783</v>
      </c>
      <c r="C18" s="606"/>
      <c r="D18" s="606">
        <v>0.21</v>
      </c>
      <c r="E18" s="606">
        <v>0.22</v>
      </c>
      <c r="F18" s="606">
        <v>0.23</v>
      </c>
      <c r="G18" s="606">
        <v>0.24</v>
      </c>
      <c r="H18" s="606">
        <v>0.25</v>
      </c>
      <c r="I18" s="606">
        <f t="shared" si="3"/>
        <v>0.22999999999999998</v>
      </c>
      <c r="J18" s="643"/>
      <c r="W18" s="607">
        <f t="shared" si="1"/>
        <v>0.188</v>
      </c>
    </row>
    <row r="19" spans="1:23" s="607" customFormat="1" ht="18.75">
      <c r="A19" s="633" t="s">
        <v>616</v>
      </c>
      <c r="B19" s="634" t="s">
        <v>617</v>
      </c>
      <c r="C19" s="606">
        <f>'[5]BM3r '!$I$23</f>
        <v>183.6</v>
      </c>
      <c r="D19" s="606">
        <v>159.12</v>
      </c>
      <c r="E19" s="606">
        <v>159.12</v>
      </c>
      <c r="F19" s="606">
        <f>E19</f>
        <v>159.12</v>
      </c>
      <c r="G19" s="606">
        <f>F19</f>
        <v>159.12</v>
      </c>
      <c r="H19" s="606">
        <f>G19</f>
        <v>159.12</v>
      </c>
      <c r="I19" s="606">
        <f t="shared" si="3"/>
        <v>159.12</v>
      </c>
      <c r="J19" s="643"/>
      <c r="W19" s="607">
        <f t="shared" si="1"/>
        <v>164.01600000000002</v>
      </c>
    </row>
    <row r="20" spans="1:23" s="607" customFormat="1" ht="18.75">
      <c r="A20" s="635" t="s">
        <v>618</v>
      </c>
      <c r="B20" s="634" t="s">
        <v>783</v>
      </c>
      <c r="C20" s="606" t="e">
        <f>'[5]BM3r '!I21</f>
        <v>#REF!</v>
      </c>
      <c r="D20" s="606"/>
      <c r="E20" s="606"/>
      <c r="F20" s="606">
        <v>10</v>
      </c>
      <c r="G20" s="606">
        <v>15</v>
      </c>
      <c r="H20" s="606">
        <v>20</v>
      </c>
      <c r="I20" s="606">
        <f t="shared" si="3"/>
        <v>9</v>
      </c>
      <c r="J20" s="643"/>
      <c r="W20" s="607" t="e">
        <f t="shared" si="1"/>
        <v>#REF!</v>
      </c>
    </row>
    <row r="21" spans="1:23" s="607" customFormat="1" ht="18.75">
      <c r="A21" s="635" t="s">
        <v>619</v>
      </c>
      <c r="B21" s="634" t="s">
        <v>530</v>
      </c>
      <c r="C21" s="606">
        <f>'[5]BM3r '!$I$26</f>
        <v>4.84</v>
      </c>
      <c r="D21" s="606">
        <v>1.81</v>
      </c>
      <c r="E21" s="606">
        <v>2.17</v>
      </c>
      <c r="F21" s="606">
        <v>1.99</v>
      </c>
      <c r="G21" s="606">
        <v>2.35</v>
      </c>
      <c r="H21" s="606">
        <v>2.72</v>
      </c>
      <c r="I21" s="606">
        <f t="shared" si="3"/>
        <v>2.208</v>
      </c>
      <c r="J21" s="643"/>
      <c r="W21" s="607">
        <f t="shared" si="1"/>
        <v>2.814</v>
      </c>
    </row>
    <row r="22" spans="1:23" s="607" customFormat="1" ht="18.75">
      <c r="A22" s="633" t="s">
        <v>620</v>
      </c>
      <c r="B22" s="634" t="s">
        <v>621</v>
      </c>
      <c r="C22" s="606">
        <f>'[5]BM3r '!I29</f>
        <v>71.28</v>
      </c>
      <c r="D22" s="606">
        <v>71.28</v>
      </c>
      <c r="E22" s="606">
        <f>D22</f>
        <v>71.28</v>
      </c>
      <c r="F22" s="606">
        <f>E22</f>
        <v>71.28</v>
      </c>
      <c r="G22" s="606">
        <f>F22</f>
        <v>71.28</v>
      </c>
      <c r="H22" s="606">
        <f>G22</f>
        <v>71.28</v>
      </c>
      <c r="I22" s="606">
        <f t="shared" si="3"/>
        <v>71.28</v>
      </c>
      <c r="J22" s="643"/>
      <c r="W22" s="607">
        <f t="shared" si="1"/>
        <v>71.28</v>
      </c>
    </row>
    <row r="23" spans="1:23" s="607" customFormat="1" ht="18.75">
      <c r="A23" s="633" t="s">
        <v>622</v>
      </c>
      <c r="B23" s="634" t="s">
        <v>608</v>
      </c>
      <c r="C23" s="649">
        <f>'[5]BM3r '!I30</f>
        <v>144</v>
      </c>
      <c r="D23" s="606">
        <v>162</v>
      </c>
      <c r="E23" s="606">
        <v>180</v>
      </c>
      <c r="F23" s="606">
        <v>198</v>
      </c>
      <c r="G23" s="606">
        <v>216</v>
      </c>
      <c r="H23" s="606">
        <v>234</v>
      </c>
      <c r="I23" s="606">
        <f t="shared" si="3"/>
        <v>198</v>
      </c>
      <c r="J23" s="643"/>
      <c r="W23" s="607">
        <f t="shared" si="1"/>
        <v>194.4</v>
      </c>
    </row>
    <row r="24" spans="1:23" s="607" customFormat="1" ht="18.75">
      <c r="A24" s="635" t="s">
        <v>623</v>
      </c>
      <c r="B24" s="634" t="s">
        <v>624</v>
      </c>
      <c r="C24" s="606">
        <f>'[5]BM3r '!$I$32</f>
        <v>4.23</v>
      </c>
      <c r="D24" s="606">
        <v>3.81</v>
      </c>
      <c r="E24" s="606">
        <v>3.68</v>
      </c>
      <c r="F24" s="606">
        <v>3.59</v>
      </c>
      <c r="G24" s="606">
        <v>3.38</v>
      </c>
      <c r="H24" s="606">
        <v>2.96</v>
      </c>
      <c r="I24" s="606">
        <f t="shared" si="3"/>
        <v>3.4840000000000004</v>
      </c>
      <c r="J24" s="643"/>
      <c r="L24" s="652"/>
      <c r="W24" s="607">
        <f t="shared" si="1"/>
        <v>3.568</v>
      </c>
    </row>
    <row r="25" spans="1:23" s="607" customFormat="1" ht="18.75">
      <c r="A25" s="633" t="s">
        <v>625</v>
      </c>
      <c r="B25" s="634" t="s">
        <v>557</v>
      </c>
      <c r="C25" s="606"/>
      <c r="D25" s="618"/>
      <c r="E25" s="618"/>
      <c r="F25" s="618"/>
      <c r="G25" s="618"/>
      <c r="H25" s="618"/>
      <c r="I25" s="606">
        <f t="shared" si="3"/>
        <v>0</v>
      </c>
      <c r="J25" s="643"/>
      <c r="K25" s="607">
        <v>0.0012</v>
      </c>
      <c r="L25" s="650">
        <f>$K$25*D25</f>
        <v>0</v>
      </c>
      <c r="M25" s="650">
        <f>$K$25*E25</f>
        <v>0</v>
      </c>
      <c r="N25" s="650">
        <f>$K$25*F25</f>
        <v>0</v>
      </c>
      <c r="O25" s="650">
        <f>$K$25*G25</f>
        <v>0</v>
      </c>
      <c r="P25" s="650">
        <f>$K$25*H25</f>
        <v>0</v>
      </c>
      <c r="Q25" s="607">
        <v>0.004</v>
      </c>
      <c r="R25" s="651">
        <f>$Q$25*D25</f>
        <v>0</v>
      </c>
      <c r="S25" s="651">
        <f>$Q$25*E25</f>
        <v>0</v>
      </c>
      <c r="T25" s="651">
        <f>$Q$25*F25</f>
        <v>0</v>
      </c>
      <c r="U25" s="651">
        <f>$Q$25*G25</f>
        <v>0</v>
      </c>
      <c r="V25" s="651">
        <f>$Q$25*H25</f>
        <v>0</v>
      </c>
      <c r="W25" s="607">
        <f t="shared" si="1"/>
        <v>0</v>
      </c>
    </row>
    <row r="26" spans="1:23" s="607" customFormat="1" ht="18.75">
      <c r="A26" s="633" t="s">
        <v>626</v>
      </c>
      <c r="B26" s="634" t="s">
        <v>627</v>
      </c>
      <c r="C26" s="606"/>
      <c r="D26" s="618"/>
      <c r="E26" s="618"/>
      <c r="F26" s="618"/>
      <c r="G26" s="618">
        <v>1000</v>
      </c>
      <c r="H26" s="618">
        <v>2000</v>
      </c>
      <c r="I26" s="606">
        <f t="shared" si="3"/>
        <v>600</v>
      </c>
      <c r="J26" s="643"/>
      <c r="L26" s="650"/>
      <c r="M26" s="650"/>
      <c r="N26" s="650"/>
      <c r="O26" s="650"/>
      <c r="P26" s="650"/>
      <c r="R26" s="651"/>
      <c r="S26" s="651"/>
      <c r="T26" s="651"/>
      <c r="U26" s="651"/>
      <c r="V26" s="651"/>
      <c r="W26" s="607">
        <f t="shared" si="1"/>
        <v>600</v>
      </c>
    </row>
    <row r="27" spans="1:23" s="607" customFormat="1" ht="18.75">
      <c r="A27" s="635" t="s">
        <v>628</v>
      </c>
      <c r="B27" s="634" t="s">
        <v>629</v>
      </c>
      <c r="C27" s="606">
        <f>'[5]BM3r '!I35</f>
        <v>1452</v>
      </c>
      <c r="D27" s="618">
        <v>1525</v>
      </c>
      <c r="E27" s="618">
        <v>1601</v>
      </c>
      <c r="F27" s="618">
        <v>1681</v>
      </c>
      <c r="G27" s="618">
        <v>1765</v>
      </c>
      <c r="H27" s="618">
        <v>1853</v>
      </c>
      <c r="I27" s="606">
        <f t="shared" si="3"/>
        <v>1685</v>
      </c>
      <c r="J27" s="643"/>
      <c r="L27" s="652"/>
      <c r="W27" s="607">
        <f t="shared" si="1"/>
        <v>1670.4</v>
      </c>
    </row>
    <row r="28" spans="1:23" s="607" customFormat="1" ht="18.75">
      <c r="A28" s="726" t="s">
        <v>776</v>
      </c>
      <c r="B28" s="727" t="s">
        <v>777</v>
      </c>
      <c r="C28" s="618">
        <f>'[5]BM3r '!I36</f>
        <v>63.7</v>
      </c>
      <c r="D28" s="606">
        <v>68.12</v>
      </c>
      <c r="E28" s="606">
        <v>71.52</v>
      </c>
      <c r="F28" s="606">
        <v>75.1</v>
      </c>
      <c r="G28" s="606">
        <v>78.85</v>
      </c>
      <c r="H28" s="606">
        <v>82.8</v>
      </c>
      <c r="I28" s="606">
        <f t="shared" si="3"/>
        <v>75.27799999999999</v>
      </c>
      <c r="J28" s="643"/>
      <c r="L28" s="652"/>
      <c r="W28" s="607">
        <f t="shared" si="1"/>
        <v>74.39399999999999</v>
      </c>
    </row>
    <row r="29" spans="1:23" s="607" customFormat="1" ht="18.75">
      <c r="A29" s="728" t="s">
        <v>779</v>
      </c>
      <c r="B29" s="727" t="s">
        <v>778</v>
      </c>
      <c r="C29" s="606"/>
      <c r="D29" s="618">
        <v>45</v>
      </c>
      <c r="E29" s="618">
        <v>50</v>
      </c>
      <c r="F29" s="618">
        <v>50</v>
      </c>
      <c r="G29" s="618">
        <v>50</v>
      </c>
      <c r="H29" s="618">
        <v>50</v>
      </c>
      <c r="I29" s="606">
        <f t="shared" si="3"/>
        <v>49</v>
      </c>
      <c r="J29" s="643"/>
      <c r="L29" s="652"/>
      <c r="W29" s="607">
        <f t="shared" si="1"/>
        <v>40</v>
      </c>
    </row>
    <row r="30" spans="1:23" s="607" customFormat="1" ht="18.75">
      <c r="A30" s="728" t="s">
        <v>780</v>
      </c>
      <c r="B30" s="727" t="s">
        <v>778</v>
      </c>
      <c r="C30" s="606"/>
      <c r="D30" s="618">
        <v>10</v>
      </c>
      <c r="E30" s="618">
        <v>10</v>
      </c>
      <c r="F30" s="618">
        <v>10</v>
      </c>
      <c r="G30" s="618">
        <v>10</v>
      </c>
      <c r="H30" s="618">
        <v>10</v>
      </c>
      <c r="I30" s="606">
        <f t="shared" si="3"/>
        <v>10</v>
      </c>
      <c r="J30" s="643"/>
      <c r="L30" s="652"/>
      <c r="W30" s="607">
        <f t="shared" si="1"/>
        <v>8</v>
      </c>
    </row>
    <row r="31" spans="1:12" s="607" customFormat="1" ht="18.75">
      <c r="A31" s="728" t="s">
        <v>781</v>
      </c>
      <c r="B31" s="727" t="s">
        <v>778</v>
      </c>
      <c r="C31" s="606"/>
      <c r="D31" s="618">
        <v>48</v>
      </c>
      <c r="E31" s="618">
        <v>60</v>
      </c>
      <c r="F31" s="618">
        <f aca="true" t="shared" si="4" ref="F31:H32">E31</f>
        <v>60</v>
      </c>
      <c r="G31" s="618">
        <f t="shared" si="4"/>
        <v>60</v>
      </c>
      <c r="H31" s="618">
        <f t="shared" si="4"/>
        <v>60</v>
      </c>
      <c r="I31" s="606">
        <f t="shared" si="3"/>
        <v>57.6</v>
      </c>
      <c r="J31" s="643"/>
      <c r="L31" s="652"/>
    </row>
    <row r="32" spans="1:12" s="607" customFormat="1" ht="18.75">
      <c r="A32" s="728" t="s">
        <v>782</v>
      </c>
      <c r="B32" s="727" t="s">
        <v>778</v>
      </c>
      <c r="C32" s="606"/>
      <c r="D32" s="618">
        <v>25</v>
      </c>
      <c r="E32" s="618">
        <v>30</v>
      </c>
      <c r="F32" s="618">
        <f t="shared" si="4"/>
        <v>30</v>
      </c>
      <c r="G32" s="618">
        <f t="shared" si="4"/>
        <v>30</v>
      </c>
      <c r="H32" s="618">
        <f t="shared" si="4"/>
        <v>30</v>
      </c>
      <c r="I32" s="606">
        <f t="shared" si="3"/>
        <v>29</v>
      </c>
      <c r="J32" s="643"/>
      <c r="L32" s="652"/>
    </row>
    <row r="33" spans="1:12" s="607" customFormat="1" ht="18.75">
      <c r="A33" s="393" t="s">
        <v>290</v>
      </c>
      <c r="B33" s="394" t="s">
        <v>6</v>
      </c>
      <c r="C33" s="606">
        <v>100</v>
      </c>
      <c r="D33" s="618">
        <v>100</v>
      </c>
      <c r="E33" s="618">
        <v>100</v>
      </c>
      <c r="F33" s="618">
        <v>100</v>
      </c>
      <c r="G33" s="618">
        <v>100</v>
      </c>
      <c r="H33" s="618">
        <v>100</v>
      </c>
      <c r="I33" s="606">
        <f t="shared" si="3"/>
        <v>100</v>
      </c>
      <c r="J33" s="643"/>
      <c r="L33" s="652"/>
    </row>
    <row r="34" spans="1:9" ht="18.75">
      <c r="A34" s="393" t="s">
        <v>291</v>
      </c>
      <c r="B34" s="394" t="s">
        <v>6</v>
      </c>
      <c r="C34" s="606">
        <f>'[5]BM3r '!$I$38</f>
        <v>98.49</v>
      </c>
      <c r="D34" s="655">
        <v>98.5</v>
      </c>
      <c r="E34" s="655">
        <v>99</v>
      </c>
      <c r="F34" s="655">
        <v>99</v>
      </c>
      <c r="G34" s="655">
        <v>99</v>
      </c>
      <c r="H34" s="655">
        <f>G34</f>
        <v>99</v>
      </c>
      <c r="I34" s="606">
        <f>H34</f>
        <v>99</v>
      </c>
    </row>
    <row r="35" spans="1:3" ht="18">
      <c r="A35" s="1795"/>
      <c r="B35" s="1795"/>
      <c r="C35" s="1795"/>
    </row>
    <row r="36" ht="18">
      <c r="B36" s="653"/>
    </row>
    <row r="37" ht="18">
      <c r="B37" s="653"/>
    </row>
    <row r="38" ht="18">
      <c r="B38" s="653"/>
    </row>
    <row r="39" ht="18">
      <c r="B39" s="653"/>
    </row>
    <row r="40" ht="18">
      <c r="B40" s="653"/>
    </row>
    <row r="41" spans="2:8" ht="18">
      <c r="B41" s="653"/>
      <c r="G41" s="654"/>
      <c r="H41" s="654"/>
    </row>
    <row r="42" ht="18">
      <c r="B42" s="653"/>
    </row>
    <row r="43" ht="18">
      <c r="B43" s="653"/>
    </row>
  </sheetData>
  <sheetProtection/>
  <mergeCells count="5">
    <mergeCell ref="A35:C35"/>
    <mergeCell ref="B2:J2"/>
    <mergeCell ref="A3:J3"/>
    <mergeCell ref="A4:J4"/>
    <mergeCell ref="H1:I1"/>
  </mergeCells>
  <printOptions horizontalCentered="1"/>
  <pageMargins left="0" right="0" top="0.3937007874015748" bottom="0.3937007874015748" header="0.5118110236220472" footer="0.35433070866141736"/>
  <pageSetup fitToHeight="0" horizontalDpi="600" verticalDpi="600" orientation="landscape" paperSize="9" scale="75" r:id="rId3"/>
  <headerFooter alignWithMargins="0">
    <oddFooter>&amp;R&amp;"Times New Roman,Regular"&amp;12&amp;P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9"/>
  <sheetViews>
    <sheetView zoomScale="70" zoomScaleNormal="70" workbookViewId="0" topLeftCell="A4">
      <selection activeCell="H14" sqref="H14"/>
    </sheetView>
  </sheetViews>
  <sheetFormatPr defaultColWidth="9.140625" defaultRowHeight="12.75"/>
  <cols>
    <col min="1" max="1" width="8.140625" style="346" customWidth="1"/>
    <col min="2" max="2" width="36.00390625" style="347" customWidth="1"/>
    <col min="3" max="3" width="15.8515625" style="348" customWidth="1"/>
    <col min="4" max="4" width="14.8515625" style="351" customWidth="1"/>
    <col min="5" max="10" width="12.421875" style="331" customWidth="1"/>
    <col min="11" max="11" width="15.140625" style="331" customWidth="1"/>
    <col min="12" max="12" width="7.8515625" style="331" customWidth="1"/>
    <col min="13" max="16384" width="9.140625" style="331" customWidth="1"/>
  </cols>
  <sheetData>
    <row r="1" spans="8:11" ht="30" customHeight="1">
      <c r="H1" s="374"/>
      <c r="I1" s="365" t="s">
        <v>702</v>
      </c>
      <c r="J1" s="1796" t="s">
        <v>704</v>
      </c>
      <c r="K1" s="1796"/>
    </row>
    <row r="2" spans="2:11" ht="30" customHeight="1">
      <c r="B2" s="1769" t="s">
        <v>476</v>
      </c>
      <c r="C2" s="1769"/>
      <c r="D2" s="1769"/>
      <c r="E2" s="1769"/>
      <c r="F2" s="1769"/>
      <c r="G2" s="1769"/>
      <c r="H2" s="1769"/>
      <c r="I2" s="1769"/>
      <c r="J2" s="1769"/>
      <c r="K2" s="1769"/>
    </row>
    <row r="3" spans="1:11" ht="27.75" customHeight="1">
      <c r="A3" s="1765" t="s">
        <v>332</v>
      </c>
      <c r="B3" s="1765"/>
      <c r="C3" s="1765"/>
      <c r="D3" s="1765"/>
      <c r="E3" s="1765"/>
      <c r="F3" s="1765"/>
      <c r="G3" s="1765"/>
      <c r="H3" s="1765"/>
      <c r="I3" s="1765"/>
      <c r="J3" s="1765"/>
      <c r="K3" s="1765"/>
    </row>
    <row r="4" spans="1:11" ht="30" customHeight="1">
      <c r="A4" s="1765" t="s">
        <v>705</v>
      </c>
      <c r="B4" s="1765"/>
      <c r="C4" s="1765"/>
      <c r="D4" s="1765"/>
      <c r="E4" s="1765"/>
      <c r="F4" s="1765"/>
      <c r="G4" s="1765"/>
      <c r="H4" s="1765"/>
      <c r="I4" s="1765"/>
      <c r="J4" s="1765"/>
      <c r="K4" s="1765"/>
    </row>
    <row r="5" spans="1:11" ht="27.75" customHeight="1">
      <c r="A5" s="533"/>
      <c r="B5" s="395"/>
      <c r="C5" s="396"/>
      <c r="D5" s="382"/>
      <c r="E5" s="397"/>
      <c r="F5" s="397"/>
      <c r="G5" s="397"/>
      <c r="H5" s="397"/>
      <c r="I5" s="397"/>
      <c r="J5" s="397"/>
      <c r="K5" s="397"/>
    </row>
    <row r="6" spans="1:12" s="349" customFormat="1" ht="33" customHeight="1">
      <c r="A6" s="1798" t="s">
        <v>0</v>
      </c>
      <c r="B6" s="1798" t="s">
        <v>302</v>
      </c>
      <c r="C6" s="1798" t="s">
        <v>104</v>
      </c>
      <c r="D6" s="1798" t="s">
        <v>303</v>
      </c>
      <c r="E6" s="1799" t="s">
        <v>707</v>
      </c>
      <c r="F6" s="1799"/>
      <c r="G6" s="1799"/>
      <c r="H6" s="1799"/>
      <c r="I6" s="1799"/>
      <c r="J6" s="1799"/>
      <c r="K6" s="1798" t="s">
        <v>706</v>
      </c>
      <c r="L6" s="375"/>
    </row>
    <row r="7" spans="1:12" s="349" customFormat="1" ht="33" customHeight="1">
      <c r="A7" s="1798"/>
      <c r="B7" s="1798"/>
      <c r="C7" s="1798"/>
      <c r="D7" s="1798"/>
      <c r="E7" s="383" t="s">
        <v>695</v>
      </c>
      <c r="F7" s="383" t="s">
        <v>696</v>
      </c>
      <c r="G7" s="383" t="s">
        <v>697</v>
      </c>
      <c r="H7" s="383" t="s">
        <v>698</v>
      </c>
      <c r="I7" s="383" t="s">
        <v>699</v>
      </c>
      <c r="J7" s="383" t="s">
        <v>304</v>
      </c>
      <c r="K7" s="1798"/>
      <c r="L7" s="375"/>
    </row>
    <row r="8" spans="1:12" s="347" customFormat="1" ht="26.25" customHeight="1">
      <c r="A8" s="547" t="s">
        <v>201</v>
      </c>
      <c r="B8" s="547" t="s">
        <v>134</v>
      </c>
      <c r="C8" s="547" t="s">
        <v>296</v>
      </c>
      <c r="D8" s="547" t="s">
        <v>297</v>
      </c>
      <c r="E8" s="547" t="s">
        <v>305</v>
      </c>
      <c r="F8" s="547" t="s">
        <v>306</v>
      </c>
      <c r="G8" s="547" t="s">
        <v>307</v>
      </c>
      <c r="H8" s="547" t="s">
        <v>308</v>
      </c>
      <c r="I8" s="547" t="s">
        <v>309</v>
      </c>
      <c r="J8" s="547" t="s">
        <v>310</v>
      </c>
      <c r="K8" s="547" t="s">
        <v>311</v>
      </c>
      <c r="L8" s="554"/>
    </row>
    <row r="9" spans="1:12" ht="33.75" customHeight="1">
      <c r="A9" s="386">
        <v>1</v>
      </c>
      <c r="B9" s="384" t="s">
        <v>312</v>
      </c>
      <c r="C9" s="409" t="s">
        <v>313</v>
      </c>
      <c r="D9" s="414"/>
      <c r="E9" s="425"/>
      <c r="F9" s="425"/>
      <c r="G9" s="423"/>
      <c r="H9" s="423"/>
      <c r="I9" s="423"/>
      <c r="J9" s="423"/>
      <c r="K9" s="423"/>
      <c r="L9" s="366"/>
    </row>
    <row r="10" spans="1:23" s="329" customFormat="1" ht="27" customHeight="1">
      <c r="A10" s="534" t="s">
        <v>134</v>
      </c>
      <c r="B10" s="387" t="s">
        <v>314</v>
      </c>
      <c r="C10" s="409" t="s">
        <v>228</v>
      </c>
      <c r="D10" s="414"/>
      <c r="E10" s="425"/>
      <c r="F10" s="425"/>
      <c r="G10" s="425"/>
      <c r="H10" s="425"/>
      <c r="I10" s="425"/>
      <c r="J10" s="425"/>
      <c r="K10" s="425"/>
      <c r="L10" s="367"/>
      <c r="N10" s="357"/>
      <c r="O10" s="356"/>
      <c r="Q10" s="357"/>
      <c r="R10" s="356"/>
      <c r="T10" s="357"/>
      <c r="U10" s="356"/>
      <c r="W10" s="357"/>
    </row>
    <row r="11" spans="1:12" s="377" customFormat="1" ht="24" customHeight="1">
      <c r="A11" s="535"/>
      <c r="B11" s="393" t="s">
        <v>315</v>
      </c>
      <c r="C11" s="394" t="s">
        <v>229</v>
      </c>
      <c r="D11" s="536"/>
      <c r="E11" s="537"/>
      <c r="F11" s="537"/>
      <c r="G11" s="538"/>
      <c r="H11" s="537"/>
      <c r="I11" s="537"/>
      <c r="J11" s="537"/>
      <c r="K11" s="537"/>
      <c r="L11" s="376"/>
    </row>
    <row r="12" spans="1:12" s="377" customFormat="1" ht="27" customHeight="1">
      <c r="A12" s="535"/>
      <c r="B12" s="393" t="s">
        <v>316</v>
      </c>
      <c r="C12" s="394" t="s">
        <v>229</v>
      </c>
      <c r="D12" s="536"/>
      <c r="E12" s="537"/>
      <c r="F12" s="539"/>
      <c r="G12" s="539"/>
      <c r="H12" s="539"/>
      <c r="I12" s="539"/>
      <c r="J12" s="539"/>
      <c r="K12" s="539"/>
      <c r="L12" s="376"/>
    </row>
    <row r="13" spans="1:12" s="377" customFormat="1" ht="27" customHeight="1">
      <c r="A13" s="535"/>
      <c r="B13" s="392" t="s">
        <v>317</v>
      </c>
      <c r="C13" s="394" t="s">
        <v>229</v>
      </c>
      <c r="D13" s="536"/>
      <c r="E13" s="537"/>
      <c r="F13" s="537"/>
      <c r="G13" s="537"/>
      <c r="H13" s="537"/>
      <c r="I13" s="537"/>
      <c r="J13" s="537"/>
      <c r="K13" s="537"/>
      <c r="L13" s="376"/>
    </row>
    <row r="14" spans="1:23" s="329" customFormat="1" ht="29.25" customHeight="1">
      <c r="A14" s="534" t="s">
        <v>296</v>
      </c>
      <c r="B14" s="387" t="s">
        <v>318</v>
      </c>
      <c r="C14" s="383" t="s">
        <v>228</v>
      </c>
      <c r="D14" s="529"/>
      <c r="E14" s="425"/>
      <c r="F14" s="425"/>
      <c r="G14" s="425"/>
      <c r="H14" s="425"/>
      <c r="I14" s="425"/>
      <c r="J14" s="425"/>
      <c r="K14" s="425"/>
      <c r="L14" s="367"/>
      <c r="N14" s="357"/>
      <c r="O14" s="356"/>
      <c r="Q14" s="357"/>
      <c r="R14" s="356"/>
      <c r="T14" s="357"/>
      <c r="U14" s="356"/>
      <c r="W14" s="357"/>
    </row>
    <row r="15" spans="1:12" s="329" customFormat="1" ht="33" customHeight="1">
      <c r="A15" s="534" t="s">
        <v>297</v>
      </c>
      <c r="B15" s="387" t="s">
        <v>319</v>
      </c>
      <c r="C15" s="409" t="s">
        <v>228</v>
      </c>
      <c r="D15" s="414"/>
      <c r="E15" s="425"/>
      <c r="F15" s="425"/>
      <c r="G15" s="425"/>
      <c r="H15" s="425"/>
      <c r="I15" s="425"/>
      <c r="J15" s="425"/>
      <c r="K15" s="425"/>
      <c r="L15" s="368"/>
    </row>
    <row r="16" spans="1:12" s="329" customFormat="1" ht="33" customHeight="1">
      <c r="A16" s="534" t="s">
        <v>305</v>
      </c>
      <c r="B16" s="387" t="s">
        <v>320</v>
      </c>
      <c r="C16" s="409"/>
      <c r="D16" s="414"/>
      <c r="E16" s="425"/>
      <c r="F16" s="425"/>
      <c r="G16" s="425"/>
      <c r="H16" s="425"/>
      <c r="I16" s="425"/>
      <c r="J16" s="425"/>
      <c r="K16" s="425"/>
      <c r="L16" s="368"/>
    </row>
    <row r="17" spans="1:12" s="350" customFormat="1" ht="33" customHeight="1">
      <c r="A17" s="540"/>
      <c r="B17" s="392" t="s">
        <v>136</v>
      </c>
      <c r="C17" s="409"/>
      <c r="D17" s="419"/>
      <c r="E17" s="420"/>
      <c r="F17" s="420"/>
      <c r="G17" s="420"/>
      <c r="H17" s="420"/>
      <c r="I17" s="420"/>
      <c r="J17" s="420"/>
      <c r="K17" s="420"/>
      <c r="L17" s="378"/>
    </row>
    <row r="18" spans="1:12" ht="27" customHeight="1">
      <c r="A18" s="540"/>
      <c r="B18" s="393" t="s">
        <v>133</v>
      </c>
      <c r="C18" s="394" t="s">
        <v>229</v>
      </c>
      <c r="D18" s="414"/>
      <c r="E18" s="415"/>
      <c r="F18" s="523"/>
      <c r="G18" s="415"/>
      <c r="H18" s="415"/>
      <c r="I18" s="415"/>
      <c r="J18" s="415"/>
      <c r="K18" s="415"/>
      <c r="L18" s="366"/>
    </row>
    <row r="19" spans="1:23" s="377" customFormat="1" ht="27" customHeight="1">
      <c r="A19" s="535"/>
      <c r="B19" s="392" t="s">
        <v>321</v>
      </c>
      <c r="C19" s="394" t="s">
        <v>229</v>
      </c>
      <c r="D19" s="536"/>
      <c r="E19" s="537"/>
      <c r="F19" s="537"/>
      <c r="G19" s="541"/>
      <c r="H19" s="537"/>
      <c r="I19" s="537"/>
      <c r="J19" s="537"/>
      <c r="K19" s="537"/>
      <c r="L19" s="379"/>
      <c r="N19" s="380"/>
      <c r="O19" s="381"/>
      <c r="Q19" s="380"/>
      <c r="R19" s="381"/>
      <c r="T19" s="380"/>
      <c r="U19" s="381"/>
      <c r="W19" s="380"/>
    </row>
    <row r="20" spans="1:21" s="377" customFormat="1" ht="28.5" customHeight="1">
      <c r="A20" s="535"/>
      <c r="B20" s="392" t="s">
        <v>322</v>
      </c>
      <c r="C20" s="409"/>
      <c r="D20" s="536"/>
      <c r="E20" s="537"/>
      <c r="F20" s="537"/>
      <c r="G20" s="537"/>
      <c r="H20" s="541"/>
      <c r="I20" s="541"/>
      <c r="J20" s="541"/>
      <c r="K20" s="541"/>
      <c r="L20" s="379"/>
      <c r="N20" s="380"/>
      <c r="O20" s="381"/>
      <c r="Q20" s="380"/>
      <c r="R20" s="381"/>
      <c r="T20" s="380"/>
      <c r="U20" s="381"/>
    </row>
    <row r="21" spans="1:12" s="329" customFormat="1" ht="27.75" customHeight="1">
      <c r="A21" s="534" t="s">
        <v>306</v>
      </c>
      <c r="B21" s="387" t="s">
        <v>323</v>
      </c>
      <c r="C21" s="409"/>
      <c r="D21" s="414"/>
      <c r="E21" s="425"/>
      <c r="F21" s="425"/>
      <c r="G21" s="425"/>
      <c r="H21" s="425"/>
      <c r="I21" s="425"/>
      <c r="J21" s="425"/>
      <c r="K21" s="425"/>
      <c r="L21" s="368"/>
    </row>
    <row r="22" spans="1:12" ht="6.75" customHeight="1">
      <c r="A22" s="542"/>
      <c r="B22" s="543"/>
      <c r="C22" s="544"/>
      <c r="D22" s="545"/>
      <c r="E22" s="546"/>
      <c r="F22" s="546"/>
      <c r="G22" s="546"/>
      <c r="H22" s="546"/>
      <c r="I22" s="546"/>
      <c r="J22" s="546"/>
      <c r="K22" s="546"/>
      <c r="L22" s="353"/>
    </row>
    <row r="23" spans="1:11" ht="16.5">
      <c r="A23" s="533"/>
      <c r="B23" s="395"/>
      <c r="C23" s="396"/>
      <c r="D23" s="531"/>
      <c r="E23" s="532"/>
      <c r="F23" s="532"/>
      <c r="G23" s="532"/>
      <c r="H23" s="532"/>
      <c r="I23" s="532"/>
      <c r="J23" s="532"/>
      <c r="K23" s="532"/>
    </row>
    <row r="24" spans="1:11" ht="62.25" customHeight="1" hidden="1">
      <c r="A24" s="533"/>
      <c r="B24" s="1797" t="s">
        <v>324</v>
      </c>
      <c r="C24" s="1797"/>
      <c r="D24" s="1797"/>
      <c r="E24" s="1797"/>
      <c r="F24" s="1797"/>
      <c r="G24" s="1797"/>
      <c r="H24" s="1797"/>
      <c r="I24" s="1797"/>
      <c r="J24" s="1797"/>
      <c r="K24" s="1797"/>
    </row>
    <row r="25" spans="1:11" ht="16.5">
      <c r="A25" s="533"/>
      <c r="B25" s="395"/>
      <c r="C25" s="396"/>
      <c r="D25" s="382"/>
      <c r="E25" s="528"/>
      <c r="F25" s="528"/>
      <c r="G25" s="528"/>
      <c r="H25" s="528"/>
      <c r="I25" s="528"/>
      <c r="J25" s="528"/>
      <c r="K25" s="528"/>
    </row>
    <row r="26" spans="1:11" ht="16.5">
      <c r="A26" s="533"/>
      <c r="B26" s="395"/>
      <c r="C26" s="396"/>
      <c r="D26" s="382"/>
      <c r="E26" s="528"/>
      <c r="F26" s="528"/>
      <c r="G26" s="528"/>
      <c r="H26" s="528"/>
      <c r="I26" s="528"/>
      <c r="J26" s="528"/>
      <c r="K26" s="528"/>
    </row>
    <row r="27" spans="1:23" ht="16.5">
      <c r="A27" s="533"/>
      <c r="B27" s="411"/>
      <c r="C27" s="396"/>
      <c r="D27" s="382"/>
      <c r="E27" s="408"/>
      <c r="F27" s="397"/>
      <c r="G27" s="397"/>
      <c r="H27" s="397"/>
      <c r="I27" s="397"/>
      <c r="J27" s="397"/>
      <c r="K27" s="397"/>
      <c r="L27" s="354"/>
      <c r="N27" s="352"/>
      <c r="O27" s="354"/>
      <c r="Q27" s="352"/>
      <c r="R27" s="354"/>
      <c r="T27" s="352"/>
      <c r="U27" s="354"/>
      <c r="W27" s="352"/>
    </row>
    <row r="28" spans="1:11" ht="16.5">
      <c r="A28" s="533"/>
      <c r="B28" s="395"/>
      <c r="C28" s="396"/>
      <c r="D28" s="382"/>
      <c r="E28" s="397"/>
      <c r="F28" s="397"/>
      <c r="G28" s="397"/>
      <c r="H28" s="397"/>
      <c r="I28" s="397"/>
      <c r="J28" s="397"/>
      <c r="K28" s="397"/>
    </row>
    <row r="29" spans="1:11" ht="16.5">
      <c r="A29" s="533"/>
      <c r="B29" s="395"/>
      <c r="C29" s="396"/>
      <c r="D29" s="382"/>
      <c r="E29" s="397"/>
      <c r="F29" s="397"/>
      <c r="G29" s="397"/>
      <c r="H29" s="397"/>
      <c r="I29" s="397"/>
      <c r="J29" s="397"/>
      <c r="K29" s="397"/>
    </row>
    <row r="30" spans="1:11" ht="16.5">
      <c r="A30" s="533"/>
      <c r="B30" s="395"/>
      <c r="C30" s="396"/>
      <c r="D30" s="382"/>
      <c r="E30" s="397"/>
      <c r="F30" s="397"/>
      <c r="G30" s="397"/>
      <c r="H30" s="397"/>
      <c r="I30" s="397"/>
      <c r="J30" s="397"/>
      <c r="K30" s="397"/>
    </row>
    <row r="31" spans="1:11" ht="16.5">
      <c r="A31" s="533"/>
      <c r="B31" s="395"/>
      <c r="C31" s="396"/>
      <c r="D31" s="382"/>
      <c r="E31" s="397"/>
      <c r="F31" s="397"/>
      <c r="G31" s="397"/>
      <c r="H31" s="397"/>
      <c r="I31" s="397"/>
      <c r="J31" s="397"/>
      <c r="K31" s="397"/>
    </row>
    <row r="32" spans="1:11" ht="16.5">
      <c r="A32" s="533"/>
      <c r="B32" s="395"/>
      <c r="C32" s="396"/>
      <c r="D32" s="382"/>
      <c r="E32" s="397"/>
      <c r="F32" s="397"/>
      <c r="G32" s="397"/>
      <c r="H32" s="397"/>
      <c r="I32" s="397"/>
      <c r="J32" s="397"/>
      <c r="K32" s="397"/>
    </row>
    <row r="33" spans="1:11" ht="12.75" customHeight="1">
      <c r="A33" s="533"/>
      <c r="B33" s="395"/>
      <c r="C33" s="396"/>
      <c r="D33" s="382"/>
      <c r="E33" s="397"/>
      <c r="F33" s="397"/>
      <c r="G33" s="397"/>
      <c r="H33" s="397"/>
      <c r="I33" s="397"/>
      <c r="J33" s="397"/>
      <c r="K33" s="397"/>
    </row>
    <row r="34" spans="1:11" ht="16.5">
      <c r="A34" s="533"/>
      <c r="B34" s="395"/>
      <c r="C34" s="396"/>
      <c r="D34" s="382"/>
      <c r="E34" s="397"/>
      <c r="F34" s="397"/>
      <c r="G34" s="397"/>
      <c r="H34" s="397"/>
      <c r="I34" s="397"/>
      <c r="J34" s="397"/>
      <c r="K34" s="397"/>
    </row>
    <row r="35" spans="1:11" ht="16.5">
      <c r="A35" s="533"/>
      <c r="B35" s="395"/>
      <c r="C35" s="396"/>
      <c r="D35" s="382"/>
      <c r="E35" s="397"/>
      <c r="F35" s="397"/>
      <c r="G35" s="397"/>
      <c r="H35" s="397"/>
      <c r="I35" s="397"/>
      <c r="J35" s="397"/>
      <c r="K35" s="397"/>
    </row>
    <row r="36" spans="1:11" ht="16.5">
      <c r="A36" s="533"/>
      <c r="B36" s="395"/>
      <c r="C36" s="396"/>
      <c r="D36" s="382"/>
      <c r="E36" s="397"/>
      <c r="F36" s="397"/>
      <c r="G36" s="397"/>
      <c r="H36" s="397"/>
      <c r="I36" s="397"/>
      <c r="J36" s="397"/>
      <c r="K36" s="397"/>
    </row>
    <row r="37" spans="1:11" ht="16.5">
      <c r="A37" s="533"/>
      <c r="B37" s="395"/>
      <c r="C37" s="396"/>
      <c r="D37" s="382"/>
      <c r="E37" s="397"/>
      <c r="F37" s="397"/>
      <c r="G37" s="397"/>
      <c r="H37" s="397"/>
      <c r="I37" s="397"/>
      <c r="J37" s="397"/>
      <c r="K37" s="397"/>
    </row>
    <row r="38" spans="1:11" ht="16.5">
      <c r="A38" s="533"/>
      <c r="B38" s="395"/>
      <c r="C38" s="396"/>
      <c r="D38" s="382"/>
      <c r="E38" s="397"/>
      <c r="F38" s="397"/>
      <c r="G38" s="397"/>
      <c r="H38" s="397"/>
      <c r="I38" s="397"/>
      <c r="J38" s="397"/>
      <c r="K38" s="397"/>
    </row>
    <row r="39" spans="1:11" ht="16.5">
      <c r="A39" s="533"/>
      <c r="B39" s="395"/>
      <c r="C39" s="396"/>
      <c r="D39" s="382"/>
      <c r="E39" s="397"/>
      <c r="F39" s="397"/>
      <c r="G39" s="397"/>
      <c r="H39" s="397"/>
      <c r="I39" s="397"/>
      <c r="J39" s="397"/>
      <c r="K39" s="397"/>
    </row>
    <row r="40" spans="1:11" ht="16.5">
      <c r="A40" s="533"/>
      <c r="B40" s="395"/>
      <c r="C40" s="396"/>
      <c r="D40" s="382"/>
      <c r="E40" s="397"/>
      <c r="F40" s="397"/>
      <c r="G40" s="397"/>
      <c r="H40" s="397"/>
      <c r="I40" s="397"/>
      <c r="J40" s="397"/>
      <c r="K40" s="397"/>
    </row>
    <row r="41" spans="1:11" ht="16.5">
      <c r="A41" s="533"/>
      <c r="B41" s="395"/>
      <c r="C41" s="396"/>
      <c r="D41" s="382"/>
      <c r="E41" s="397"/>
      <c r="F41" s="397"/>
      <c r="G41" s="397"/>
      <c r="H41" s="397"/>
      <c r="I41" s="397"/>
      <c r="J41" s="397"/>
      <c r="K41" s="397"/>
    </row>
    <row r="42" spans="1:11" ht="16.5">
      <c r="A42" s="533"/>
      <c r="B42" s="395"/>
      <c r="C42" s="396"/>
      <c r="D42" s="382"/>
      <c r="E42" s="397"/>
      <c r="F42" s="397"/>
      <c r="G42" s="397"/>
      <c r="H42" s="397"/>
      <c r="I42" s="397"/>
      <c r="J42" s="397"/>
      <c r="K42" s="397"/>
    </row>
    <row r="43" spans="1:11" ht="16.5">
      <c r="A43" s="533"/>
      <c r="B43" s="395"/>
      <c r="C43" s="396"/>
      <c r="D43" s="382"/>
      <c r="E43" s="397"/>
      <c r="F43" s="397"/>
      <c r="G43" s="397"/>
      <c r="H43" s="397"/>
      <c r="I43" s="397"/>
      <c r="J43" s="397"/>
      <c r="K43" s="397"/>
    </row>
    <row r="44" spans="1:11" ht="16.5">
      <c r="A44" s="533"/>
      <c r="B44" s="395"/>
      <c r="C44" s="396"/>
      <c r="D44" s="382"/>
      <c r="E44" s="397"/>
      <c r="F44" s="397"/>
      <c r="G44" s="397"/>
      <c r="H44" s="397"/>
      <c r="I44" s="397"/>
      <c r="J44" s="397"/>
      <c r="K44" s="397"/>
    </row>
    <row r="45" spans="1:11" ht="16.5">
      <c r="A45" s="533"/>
      <c r="B45" s="395"/>
      <c r="C45" s="396"/>
      <c r="D45" s="382"/>
      <c r="E45" s="397"/>
      <c r="F45" s="397"/>
      <c r="G45" s="397"/>
      <c r="H45" s="397"/>
      <c r="I45" s="397"/>
      <c r="J45" s="397"/>
      <c r="K45" s="397"/>
    </row>
    <row r="46" spans="1:11" ht="16.5">
      <c r="A46" s="533"/>
      <c r="B46" s="395"/>
      <c r="C46" s="396"/>
      <c r="D46" s="382"/>
      <c r="E46" s="397"/>
      <c r="F46" s="397"/>
      <c r="G46" s="397"/>
      <c r="H46" s="397"/>
      <c r="I46" s="397"/>
      <c r="J46" s="397"/>
      <c r="K46" s="397"/>
    </row>
    <row r="47" spans="1:11" ht="16.5">
      <c r="A47" s="533"/>
      <c r="B47" s="395"/>
      <c r="C47" s="396"/>
      <c r="D47" s="382"/>
      <c r="E47" s="397"/>
      <c r="F47" s="397"/>
      <c r="G47" s="397"/>
      <c r="H47" s="397"/>
      <c r="I47" s="397"/>
      <c r="J47" s="397"/>
      <c r="K47" s="397"/>
    </row>
    <row r="48" spans="1:11" ht="16.5">
      <c r="A48" s="533"/>
      <c r="B48" s="395"/>
      <c r="C48" s="396"/>
      <c r="D48" s="382"/>
      <c r="E48" s="397"/>
      <c r="F48" s="397"/>
      <c r="G48" s="397"/>
      <c r="H48" s="397"/>
      <c r="I48" s="397"/>
      <c r="J48" s="397"/>
      <c r="K48" s="397"/>
    </row>
    <row r="49" spans="1:11" ht="16.5">
      <c r="A49" s="533"/>
      <c r="B49" s="395"/>
      <c r="C49" s="396"/>
      <c r="D49" s="382"/>
      <c r="E49" s="397"/>
      <c r="F49" s="397"/>
      <c r="G49" s="397"/>
      <c r="H49" s="397"/>
      <c r="I49" s="397"/>
      <c r="J49" s="397"/>
      <c r="K49" s="397"/>
    </row>
    <row r="50" spans="1:11" ht="16.5">
      <c r="A50" s="533"/>
      <c r="B50" s="395"/>
      <c r="C50" s="396"/>
      <c r="D50" s="382"/>
      <c r="E50" s="397"/>
      <c r="F50" s="397"/>
      <c r="G50" s="397"/>
      <c r="H50" s="397"/>
      <c r="I50" s="397"/>
      <c r="J50" s="397"/>
      <c r="K50" s="397"/>
    </row>
    <row r="51" spans="1:11" ht="16.5">
      <c r="A51" s="533"/>
      <c r="B51" s="395"/>
      <c r="C51" s="396"/>
      <c r="D51" s="382"/>
      <c r="E51" s="397"/>
      <c r="F51" s="397"/>
      <c r="G51" s="397"/>
      <c r="H51" s="397"/>
      <c r="I51" s="397"/>
      <c r="J51" s="397"/>
      <c r="K51" s="397"/>
    </row>
    <row r="52" spans="1:11" ht="16.5">
      <c r="A52" s="533"/>
      <c r="B52" s="395"/>
      <c r="C52" s="396"/>
      <c r="D52" s="382"/>
      <c r="E52" s="397"/>
      <c r="F52" s="397"/>
      <c r="G52" s="397"/>
      <c r="H52" s="397"/>
      <c r="I52" s="397"/>
      <c r="J52" s="397"/>
      <c r="K52" s="397"/>
    </row>
    <row r="53" spans="1:11" ht="16.5">
      <c r="A53" s="533"/>
      <c r="B53" s="395"/>
      <c r="C53" s="396"/>
      <c r="D53" s="382"/>
      <c r="E53" s="397"/>
      <c r="F53" s="397"/>
      <c r="G53" s="397"/>
      <c r="H53" s="397"/>
      <c r="I53" s="397"/>
      <c r="J53" s="397"/>
      <c r="K53" s="397"/>
    </row>
    <row r="54" spans="1:11" ht="16.5">
      <c r="A54" s="533"/>
      <c r="B54" s="395"/>
      <c r="C54" s="396"/>
      <c r="D54" s="382"/>
      <c r="E54" s="397"/>
      <c r="F54" s="397"/>
      <c r="G54" s="397"/>
      <c r="H54" s="397"/>
      <c r="I54" s="397"/>
      <c r="J54" s="397"/>
      <c r="K54" s="397"/>
    </row>
    <row r="55" spans="1:11" ht="16.5">
      <c r="A55" s="533"/>
      <c r="B55" s="395"/>
      <c r="C55" s="396"/>
      <c r="D55" s="382"/>
      <c r="E55" s="397"/>
      <c r="F55" s="397"/>
      <c r="G55" s="397"/>
      <c r="H55" s="397"/>
      <c r="I55" s="397"/>
      <c r="J55" s="397"/>
      <c r="K55" s="397"/>
    </row>
    <row r="56" spans="1:11" ht="16.5">
      <c r="A56" s="533"/>
      <c r="B56" s="395"/>
      <c r="C56" s="396"/>
      <c r="D56" s="382"/>
      <c r="E56" s="397"/>
      <c r="F56" s="397"/>
      <c r="G56" s="397"/>
      <c r="H56" s="397"/>
      <c r="I56" s="397"/>
      <c r="J56" s="397"/>
      <c r="K56" s="397"/>
    </row>
    <row r="57" spans="1:11" ht="16.5">
      <c r="A57" s="533"/>
      <c r="B57" s="395"/>
      <c r="C57" s="396"/>
      <c r="D57" s="382"/>
      <c r="E57" s="397"/>
      <c r="F57" s="397"/>
      <c r="G57" s="397"/>
      <c r="H57" s="397"/>
      <c r="I57" s="397"/>
      <c r="J57" s="397"/>
      <c r="K57" s="397"/>
    </row>
    <row r="58" spans="1:11" ht="16.5">
      <c r="A58" s="533"/>
      <c r="B58" s="395"/>
      <c r="C58" s="396"/>
      <c r="D58" s="382"/>
      <c r="E58" s="397"/>
      <c r="F58" s="397"/>
      <c r="G58" s="397"/>
      <c r="H58" s="397"/>
      <c r="I58" s="397"/>
      <c r="J58" s="397"/>
      <c r="K58" s="397"/>
    </row>
    <row r="59" spans="1:11" ht="16.5">
      <c r="A59" s="533"/>
      <c r="B59" s="395"/>
      <c r="C59" s="396"/>
      <c r="D59" s="382"/>
      <c r="E59" s="397"/>
      <c r="F59" s="397"/>
      <c r="G59" s="397"/>
      <c r="H59" s="397"/>
      <c r="I59" s="397"/>
      <c r="J59" s="397"/>
      <c r="K59" s="397"/>
    </row>
    <row r="60" spans="1:11" ht="16.5">
      <c r="A60" s="533"/>
      <c r="B60" s="395"/>
      <c r="C60" s="396"/>
      <c r="D60" s="382"/>
      <c r="E60" s="397"/>
      <c r="F60" s="397"/>
      <c r="G60" s="397"/>
      <c r="H60" s="397"/>
      <c r="I60" s="397"/>
      <c r="J60" s="397"/>
      <c r="K60" s="397"/>
    </row>
    <row r="61" spans="1:11" ht="16.5">
      <c r="A61" s="533"/>
      <c r="B61" s="395"/>
      <c r="C61" s="396"/>
      <c r="D61" s="382"/>
      <c r="E61" s="397"/>
      <c r="F61" s="397"/>
      <c r="G61" s="397"/>
      <c r="H61" s="397"/>
      <c r="I61" s="397"/>
      <c r="J61" s="397"/>
      <c r="K61" s="397"/>
    </row>
    <row r="62" spans="1:11" ht="16.5">
      <c r="A62" s="533"/>
      <c r="B62" s="395"/>
      <c r="C62" s="396"/>
      <c r="D62" s="382"/>
      <c r="E62" s="397"/>
      <c r="F62" s="397"/>
      <c r="G62" s="397"/>
      <c r="H62" s="397"/>
      <c r="I62" s="397"/>
      <c r="J62" s="397"/>
      <c r="K62" s="397"/>
    </row>
    <row r="63" spans="1:11" ht="16.5">
      <c r="A63" s="533"/>
      <c r="B63" s="395"/>
      <c r="C63" s="396"/>
      <c r="D63" s="382"/>
      <c r="E63" s="397"/>
      <c r="F63" s="397"/>
      <c r="G63" s="397"/>
      <c r="H63" s="397"/>
      <c r="I63" s="397"/>
      <c r="J63" s="397"/>
      <c r="K63" s="397"/>
    </row>
    <row r="64" spans="1:11" ht="16.5">
      <c r="A64" s="533"/>
      <c r="B64" s="395"/>
      <c r="C64" s="396"/>
      <c r="D64" s="382"/>
      <c r="E64" s="397"/>
      <c r="F64" s="397"/>
      <c r="G64" s="397"/>
      <c r="H64" s="397"/>
      <c r="I64" s="397"/>
      <c r="J64" s="397"/>
      <c r="K64" s="397"/>
    </row>
    <row r="65" spans="1:11" ht="16.5">
      <c r="A65" s="533"/>
      <c r="B65" s="395"/>
      <c r="C65" s="396"/>
      <c r="D65" s="382"/>
      <c r="E65" s="397"/>
      <c r="F65" s="397"/>
      <c r="G65" s="397"/>
      <c r="H65" s="397"/>
      <c r="I65" s="397"/>
      <c r="J65" s="397"/>
      <c r="K65" s="397"/>
    </row>
    <row r="66" spans="1:11" ht="16.5">
      <c r="A66" s="533"/>
      <c r="B66" s="395"/>
      <c r="C66" s="396"/>
      <c r="D66" s="382"/>
      <c r="E66" s="397"/>
      <c r="F66" s="397"/>
      <c r="G66" s="397"/>
      <c r="H66" s="397"/>
      <c r="I66" s="397"/>
      <c r="J66" s="397"/>
      <c r="K66" s="397"/>
    </row>
    <row r="67" spans="1:11" ht="16.5">
      <c r="A67" s="533"/>
      <c r="B67" s="395"/>
      <c r="C67" s="396"/>
      <c r="D67" s="382"/>
      <c r="E67" s="397"/>
      <c r="F67" s="397"/>
      <c r="G67" s="397"/>
      <c r="H67" s="397"/>
      <c r="I67" s="397"/>
      <c r="J67" s="397"/>
      <c r="K67" s="397"/>
    </row>
    <row r="68" spans="1:11" ht="16.5">
      <c r="A68" s="533"/>
      <c r="B68" s="395"/>
      <c r="C68" s="396"/>
      <c r="D68" s="382"/>
      <c r="E68" s="397"/>
      <c r="F68" s="397"/>
      <c r="G68" s="397"/>
      <c r="H68" s="397"/>
      <c r="I68" s="397"/>
      <c r="J68" s="397"/>
      <c r="K68" s="397"/>
    </row>
    <row r="69" spans="1:11" ht="16.5">
      <c r="A69" s="533"/>
      <c r="B69" s="395"/>
      <c r="C69" s="396"/>
      <c r="D69" s="382"/>
      <c r="E69" s="397"/>
      <c r="F69" s="397"/>
      <c r="G69" s="397"/>
      <c r="H69" s="397"/>
      <c r="I69" s="397"/>
      <c r="J69" s="397"/>
      <c r="K69" s="397"/>
    </row>
    <row r="70" spans="1:11" ht="16.5">
      <c r="A70" s="533"/>
      <c r="B70" s="395"/>
      <c r="C70" s="396"/>
      <c r="D70" s="382"/>
      <c r="E70" s="397"/>
      <c r="F70" s="397"/>
      <c r="G70" s="397"/>
      <c r="H70" s="397"/>
      <c r="I70" s="397"/>
      <c r="J70" s="397"/>
      <c r="K70" s="397"/>
    </row>
    <row r="71" spans="1:11" ht="16.5">
      <c r="A71" s="533"/>
      <c r="B71" s="395"/>
      <c r="C71" s="396"/>
      <c r="D71" s="382"/>
      <c r="E71" s="397"/>
      <c r="F71" s="397"/>
      <c r="G71" s="397"/>
      <c r="H71" s="397"/>
      <c r="I71" s="397"/>
      <c r="J71" s="397"/>
      <c r="K71" s="397"/>
    </row>
    <row r="72" spans="1:11" ht="16.5">
      <c r="A72" s="533"/>
      <c r="B72" s="395"/>
      <c r="C72" s="396"/>
      <c r="D72" s="382"/>
      <c r="E72" s="397"/>
      <c r="F72" s="397"/>
      <c r="G72" s="397"/>
      <c r="H72" s="397"/>
      <c r="I72" s="397"/>
      <c r="J72" s="397"/>
      <c r="K72" s="397"/>
    </row>
    <row r="73" spans="1:11" ht="16.5">
      <c r="A73" s="533"/>
      <c r="B73" s="395"/>
      <c r="C73" s="396"/>
      <c r="D73" s="382"/>
      <c r="E73" s="397"/>
      <c r="F73" s="397"/>
      <c r="G73" s="397"/>
      <c r="H73" s="397"/>
      <c r="I73" s="397"/>
      <c r="J73" s="397"/>
      <c r="K73" s="397"/>
    </row>
    <row r="74" spans="1:11" ht="16.5">
      <c r="A74" s="533"/>
      <c r="B74" s="395"/>
      <c r="C74" s="396"/>
      <c r="D74" s="382"/>
      <c r="E74" s="397"/>
      <c r="F74" s="397"/>
      <c r="G74" s="397"/>
      <c r="H74" s="397"/>
      <c r="I74" s="397"/>
      <c r="J74" s="397"/>
      <c r="K74" s="397"/>
    </row>
    <row r="75" spans="1:11" ht="16.5">
      <c r="A75" s="533"/>
      <c r="B75" s="395"/>
      <c r="C75" s="396"/>
      <c r="D75" s="382"/>
      <c r="E75" s="397"/>
      <c r="F75" s="397"/>
      <c r="G75" s="397"/>
      <c r="H75" s="397"/>
      <c r="I75" s="397"/>
      <c r="J75" s="397"/>
      <c r="K75" s="397"/>
    </row>
    <row r="76" spans="1:11" ht="16.5">
      <c r="A76" s="533"/>
      <c r="B76" s="395"/>
      <c r="C76" s="396"/>
      <c r="D76" s="382"/>
      <c r="E76" s="397"/>
      <c r="F76" s="397"/>
      <c r="G76" s="397"/>
      <c r="H76" s="397"/>
      <c r="I76" s="397"/>
      <c r="J76" s="397"/>
      <c r="K76" s="397"/>
    </row>
    <row r="77" spans="1:11" ht="16.5">
      <c r="A77" s="533"/>
      <c r="B77" s="395"/>
      <c r="C77" s="396"/>
      <c r="D77" s="382"/>
      <c r="E77" s="397"/>
      <c r="F77" s="397"/>
      <c r="G77" s="397"/>
      <c r="H77" s="397"/>
      <c r="I77" s="397"/>
      <c r="J77" s="397"/>
      <c r="K77" s="397"/>
    </row>
    <row r="78" spans="1:11" ht="16.5">
      <c r="A78" s="533"/>
      <c r="B78" s="395"/>
      <c r="C78" s="396"/>
      <c r="D78" s="382"/>
      <c r="E78" s="397"/>
      <c r="F78" s="397"/>
      <c r="G78" s="397"/>
      <c r="H78" s="397"/>
      <c r="I78" s="397"/>
      <c r="J78" s="397"/>
      <c r="K78" s="397"/>
    </row>
    <row r="79" spans="1:11" ht="16.5">
      <c r="A79" s="533"/>
      <c r="B79" s="395"/>
      <c r="C79" s="396"/>
      <c r="D79" s="382"/>
      <c r="E79" s="397"/>
      <c r="F79" s="397"/>
      <c r="G79" s="397"/>
      <c r="H79" s="397"/>
      <c r="I79" s="397"/>
      <c r="J79" s="397"/>
      <c r="K79" s="397"/>
    </row>
    <row r="80" spans="1:11" ht="16.5">
      <c r="A80" s="533"/>
      <c r="B80" s="395"/>
      <c r="C80" s="396"/>
      <c r="D80" s="382"/>
      <c r="E80" s="397"/>
      <c r="F80" s="397"/>
      <c r="G80" s="397"/>
      <c r="H80" s="397"/>
      <c r="I80" s="397"/>
      <c r="J80" s="397"/>
      <c r="K80" s="397"/>
    </row>
    <row r="81" spans="1:11" ht="16.5">
      <c r="A81" s="533"/>
      <c r="B81" s="395"/>
      <c r="C81" s="396"/>
      <c r="D81" s="382"/>
      <c r="E81" s="397"/>
      <c r="F81" s="397"/>
      <c r="G81" s="397"/>
      <c r="H81" s="397"/>
      <c r="I81" s="397"/>
      <c r="J81" s="397"/>
      <c r="K81" s="397"/>
    </row>
    <row r="82" spans="1:11" ht="16.5">
      <c r="A82" s="533"/>
      <c r="B82" s="395"/>
      <c r="C82" s="396"/>
      <c r="D82" s="382"/>
      <c r="E82" s="397"/>
      <c r="F82" s="397"/>
      <c r="G82" s="397"/>
      <c r="H82" s="397"/>
      <c r="I82" s="397"/>
      <c r="J82" s="397"/>
      <c r="K82" s="397"/>
    </row>
    <row r="83" spans="1:11" ht="16.5">
      <c r="A83" s="533"/>
      <c r="B83" s="395"/>
      <c r="C83" s="396"/>
      <c r="D83" s="382"/>
      <c r="E83" s="397"/>
      <c r="F83" s="397"/>
      <c r="G83" s="397"/>
      <c r="H83" s="397"/>
      <c r="I83" s="397"/>
      <c r="J83" s="397"/>
      <c r="K83" s="397"/>
    </row>
    <row r="84" spans="1:11" ht="16.5">
      <c r="A84" s="533"/>
      <c r="B84" s="395"/>
      <c r="C84" s="396"/>
      <c r="D84" s="382"/>
      <c r="E84" s="397"/>
      <c r="F84" s="397"/>
      <c r="G84" s="397"/>
      <c r="H84" s="397"/>
      <c r="I84" s="397"/>
      <c r="J84" s="397"/>
      <c r="K84" s="397"/>
    </row>
    <row r="85" spans="1:11" ht="16.5">
      <c r="A85" s="533"/>
      <c r="B85" s="395"/>
      <c r="C85" s="396"/>
      <c r="D85" s="382"/>
      <c r="E85" s="397"/>
      <c r="F85" s="397"/>
      <c r="G85" s="397"/>
      <c r="H85" s="397"/>
      <c r="I85" s="397"/>
      <c r="J85" s="397"/>
      <c r="K85" s="397"/>
    </row>
    <row r="86" spans="1:11" ht="16.5">
      <c r="A86" s="533"/>
      <c r="B86" s="395"/>
      <c r="C86" s="396"/>
      <c r="D86" s="382"/>
      <c r="E86" s="397"/>
      <c r="F86" s="397"/>
      <c r="G86" s="397"/>
      <c r="H86" s="397"/>
      <c r="I86" s="397"/>
      <c r="J86" s="397"/>
      <c r="K86" s="397"/>
    </row>
    <row r="87" spans="1:11" ht="16.5">
      <c r="A87" s="533"/>
      <c r="B87" s="395"/>
      <c r="C87" s="396"/>
      <c r="D87" s="382"/>
      <c r="E87" s="397"/>
      <c r="F87" s="397"/>
      <c r="G87" s="397"/>
      <c r="H87" s="397"/>
      <c r="I87" s="397"/>
      <c r="J87" s="397"/>
      <c r="K87" s="397"/>
    </row>
    <row r="88" spans="1:11" ht="16.5">
      <c r="A88" s="533"/>
      <c r="B88" s="395"/>
      <c r="C88" s="396"/>
      <c r="D88" s="382"/>
      <c r="E88" s="397"/>
      <c r="F88" s="397"/>
      <c r="G88" s="397"/>
      <c r="H88" s="397"/>
      <c r="I88" s="397"/>
      <c r="J88" s="397"/>
      <c r="K88" s="397"/>
    </row>
    <row r="89" spans="1:11" ht="16.5">
      <c r="A89" s="533"/>
      <c r="B89" s="395"/>
      <c r="C89" s="396"/>
      <c r="D89" s="382"/>
      <c r="E89" s="397"/>
      <c r="F89" s="397"/>
      <c r="G89" s="397"/>
      <c r="H89" s="397"/>
      <c r="I89" s="397"/>
      <c r="J89" s="397"/>
      <c r="K89" s="397"/>
    </row>
    <row r="90" spans="1:11" ht="16.5">
      <c r="A90" s="533"/>
      <c r="B90" s="395"/>
      <c r="C90" s="396"/>
      <c r="D90" s="382"/>
      <c r="E90" s="397"/>
      <c r="F90" s="397"/>
      <c r="G90" s="397"/>
      <c r="H90" s="397"/>
      <c r="I90" s="397"/>
      <c r="J90" s="397"/>
      <c r="K90" s="397"/>
    </row>
    <row r="91" spans="1:11" ht="16.5">
      <c r="A91" s="533"/>
      <c r="B91" s="395"/>
      <c r="C91" s="396"/>
      <c r="D91" s="382"/>
      <c r="E91" s="397"/>
      <c r="F91" s="397"/>
      <c r="G91" s="397"/>
      <c r="H91" s="397"/>
      <c r="I91" s="397"/>
      <c r="J91" s="397"/>
      <c r="K91" s="397"/>
    </row>
    <row r="92" spans="1:11" ht="16.5">
      <c r="A92" s="533"/>
      <c r="B92" s="395"/>
      <c r="C92" s="396"/>
      <c r="D92" s="382"/>
      <c r="E92" s="397"/>
      <c r="F92" s="397"/>
      <c r="G92" s="397"/>
      <c r="H92" s="397"/>
      <c r="I92" s="397"/>
      <c r="J92" s="397"/>
      <c r="K92" s="397"/>
    </row>
    <row r="93" spans="1:11" ht="16.5">
      <c r="A93" s="533"/>
      <c r="B93" s="395"/>
      <c r="C93" s="396"/>
      <c r="D93" s="382"/>
      <c r="E93" s="397"/>
      <c r="F93" s="397"/>
      <c r="G93" s="397"/>
      <c r="H93" s="397"/>
      <c r="I93" s="397"/>
      <c r="J93" s="397"/>
      <c r="K93" s="397"/>
    </row>
    <row r="94" spans="1:11" ht="16.5">
      <c r="A94" s="533"/>
      <c r="B94" s="395"/>
      <c r="C94" s="396"/>
      <c r="D94" s="382"/>
      <c r="E94" s="397"/>
      <c r="F94" s="397"/>
      <c r="G94" s="397"/>
      <c r="H94" s="397"/>
      <c r="I94" s="397"/>
      <c r="J94" s="397"/>
      <c r="K94" s="397"/>
    </row>
    <row r="95" spans="1:11" ht="16.5">
      <c r="A95" s="533"/>
      <c r="B95" s="395"/>
      <c r="C95" s="396"/>
      <c r="D95" s="382"/>
      <c r="E95" s="397"/>
      <c r="F95" s="397"/>
      <c r="G95" s="397"/>
      <c r="H95" s="397"/>
      <c r="I95" s="397"/>
      <c r="J95" s="397"/>
      <c r="K95" s="397"/>
    </row>
    <row r="96" spans="1:11" ht="16.5">
      <c r="A96" s="533"/>
      <c r="B96" s="395"/>
      <c r="C96" s="396"/>
      <c r="D96" s="382"/>
      <c r="E96" s="397"/>
      <c r="F96" s="397"/>
      <c r="G96" s="397"/>
      <c r="H96" s="397"/>
      <c r="I96" s="397"/>
      <c r="J96" s="397"/>
      <c r="K96" s="397"/>
    </row>
    <row r="97" spans="1:11" ht="16.5">
      <c r="A97" s="533"/>
      <c r="B97" s="395"/>
      <c r="C97" s="396"/>
      <c r="D97" s="382"/>
      <c r="E97" s="397"/>
      <c r="F97" s="397"/>
      <c r="G97" s="397"/>
      <c r="H97" s="397"/>
      <c r="I97" s="397"/>
      <c r="J97" s="397"/>
      <c r="K97" s="397"/>
    </row>
    <row r="98" spans="1:11" ht="16.5">
      <c r="A98" s="533"/>
      <c r="B98" s="395"/>
      <c r="C98" s="396"/>
      <c r="D98" s="382"/>
      <c r="E98" s="397"/>
      <c r="F98" s="397"/>
      <c r="G98" s="397"/>
      <c r="H98" s="397"/>
      <c r="I98" s="397"/>
      <c r="J98" s="397"/>
      <c r="K98" s="397"/>
    </row>
    <row r="99" spans="1:11" ht="16.5">
      <c r="A99" s="533"/>
      <c r="B99" s="395"/>
      <c r="C99" s="396"/>
      <c r="D99" s="382"/>
      <c r="E99" s="397"/>
      <c r="F99" s="397"/>
      <c r="G99" s="397"/>
      <c r="H99" s="397"/>
      <c r="I99" s="397"/>
      <c r="J99" s="397"/>
      <c r="K99" s="397"/>
    </row>
    <row r="100" spans="1:11" ht="16.5">
      <c r="A100" s="533"/>
      <c r="B100" s="395"/>
      <c r="C100" s="396"/>
      <c r="D100" s="382"/>
      <c r="E100" s="397"/>
      <c r="F100" s="397"/>
      <c r="G100" s="397"/>
      <c r="H100" s="397"/>
      <c r="I100" s="397"/>
      <c r="J100" s="397"/>
      <c r="K100" s="397"/>
    </row>
    <row r="101" spans="1:11" ht="16.5">
      <c r="A101" s="533"/>
      <c r="B101" s="395"/>
      <c r="C101" s="396"/>
      <c r="D101" s="382"/>
      <c r="E101" s="397"/>
      <c r="F101" s="397"/>
      <c r="G101" s="397"/>
      <c r="H101" s="397"/>
      <c r="I101" s="397"/>
      <c r="J101" s="397"/>
      <c r="K101" s="397"/>
    </row>
    <row r="102" spans="1:11" ht="16.5">
      <c r="A102" s="533"/>
      <c r="B102" s="395"/>
      <c r="C102" s="396"/>
      <c r="D102" s="382"/>
      <c r="E102" s="397"/>
      <c r="F102" s="397"/>
      <c r="G102" s="397"/>
      <c r="H102" s="397"/>
      <c r="I102" s="397"/>
      <c r="J102" s="397"/>
      <c r="K102" s="397"/>
    </row>
    <row r="103" spans="1:11" ht="16.5">
      <c r="A103" s="533"/>
      <c r="B103" s="395"/>
      <c r="C103" s="396"/>
      <c r="D103" s="382"/>
      <c r="E103" s="397"/>
      <c r="F103" s="397"/>
      <c r="G103" s="397"/>
      <c r="H103" s="397"/>
      <c r="I103" s="397"/>
      <c r="J103" s="397"/>
      <c r="K103" s="397"/>
    </row>
    <row r="104" spans="1:11" ht="16.5">
      <c r="A104" s="533"/>
      <c r="B104" s="395"/>
      <c r="C104" s="396"/>
      <c r="D104" s="382"/>
      <c r="E104" s="397"/>
      <c r="F104" s="397"/>
      <c r="G104" s="397"/>
      <c r="H104" s="397"/>
      <c r="I104" s="397"/>
      <c r="J104" s="397"/>
      <c r="K104" s="397"/>
    </row>
    <row r="105" spans="1:11" ht="16.5">
      <c r="A105" s="533"/>
      <c r="B105" s="395"/>
      <c r="C105" s="396"/>
      <c r="D105" s="382"/>
      <c r="E105" s="397"/>
      <c r="F105" s="397"/>
      <c r="G105" s="397"/>
      <c r="H105" s="397"/>
      <c r="I105" s="397"/>
      <c r="J105" s="397"/>
      <c r="K105" s="397"/>
    </row>
    <row r="106" spans="1:11" ht="16.5">
      <c r="A106" s="533"/>
      <c r="B106" s="395"/>
      <c r="C106" s="396"/>
      <c r="D106" s="382"/>
      <c r="E106" s="397"/>
      <c r="F106" s="397"/>
      <c r="G106" s="397"/>
      <c r="H106" s="397"/>
      <c r="I106" s="397"/>
      <c r="J106" s="397"/>
      <c r="K106" s="397"/>
    </row>
    <row r="107" spans="1:11" ht="16.5">
      <c r="A107" s="533"/>
      <c r="B107" s="395"/>
      <c r="C107" s="396"/>
      <c r="D107" s="382"/>
      <c r="E107" s="397"/>
      <c r="F107" s="397"/>
      <c r="G107" s="397"/>
      <c r="H107" s="397"/>
      <c r="I107" s="397"/>
      <c r="J107" s="397"/>
      <c r="K107" s="397"/>
    </row>
    <row r="108" spans="1:11" ht="16.5">
      <c r="A108" s="533"/>
      <c r="B108" s="395"/>
      <c r="C108" s="396"/>
      <c r="D108" s="382"/>
      <c r="E108" s="397"/>
      <c r="F108" s="397"/>
      <c r="G108" s="397"/>
      <c r="H108" s="397"/>
      <c r="I108" s="397"/>
      <c r="J108" s="397"/>
      <c r="K108" s="397"/>
    </row>
    <row r="109" spans="1:11" ht="16.5">
      <c r="A109" s="533"/>
      <c r="B109" s="395"/>
      <c r="C109" s="396"/>
      <c r="D109" s="382"/>
      <c r="E109" s="397"/>
      <c r="F109" s="397"/>
      <c r="G109" s="397"/>
      <c r="H109" s="397"/>
      <c r="I109" s="397"/>
      <c r="J109" s="397"/>
      <c r="K109" s="397"/>
    </row>
    <row r="110" spans="1:11" ht="16.5">
      <c r="A110" s="533"/>
      <c r="B110" s="395"/>
      <c r="C110" s="396"/>
      <c r="D110" s="382"/>
      <c r="E110" s="397"/>
      <c r="F110" s="397"/>
      <c r="G110" s="397"/>
      <c r="H110" s="397"/>
      <c r="I110" s="397"/>
      <c r="J110" s="397"/>
      <c r="K110" s="397"/>
    </row>
    <row r="111" spans="1:11" ht="16.5">
      <c r="A111" s="533"/>
      <c r="B111" s="395"/>
      <c r="C111" s="396"/>
      <c r="D111" s="382"/>
      <c r="E111" s="397"/>
      <c r="F111" s="397"/>
      <c r="G111" s="397"/>
      <c r="H111" s="397"/>
      <c r="I111" s="397"/>
      <c r="J111" s="397"/>
      <c r="K111" s="397"/>
    </row>
    <row r="112" spans="1:11" ht="16.5">
      <c r="A112" s="533"/>
      <c r="B112" s="395"/>
      <c r="C112" s="396"/>
      <c r="D112" s="382"/>
      <c r="E112" s="397"/>
      <c r="F112" s="397"/>
      <c r="G112" s="397"/>
      <c r="H112" s="397"/>
      <c r="I112" s="397"/>
      <c r="J112" s="397"/>
      <c r="K112" s="397"/>
    </row>
    <row r="113" spans="1:11" ht="16.5">
      <c r="A113" s="533"/>
      <c r="B113" s="395"/>
      <c r="C113" s="396"/>
      <c r="D113" s="382"/>
      <c r="E113" s="397"/>
      <c r="F113" s="397"/>
      <c r="G113" s="397"/>
      <c r="H113" s="397"/>
      <c r="I113" s="397"/>
      <c r="J113" s="397"/>
      <c r="K113" s="397"/>
    </row>
    <row r="114" spans="1:11" ht="16.5">
      <c r="A114" s="533"/>
      <c r="B114" s="395"/>
      <c r="C114" s="396"/>
      <c r="D114" s="382"/>
      <c r="E114" s="397"/>
      <c r="F114" s="397"/>
      <c r="G114" s="397"/>
      <c r="H114" s="397"/>
      <c r="I114" s="397"/>
      <c r="J114" s="397"/>
      <c r="K114" s="397"/>
    </row>
    <row r="115" spans="1:11" ht="16.5">
      <c r="A115" s="533"/>
      <c r="B115" s="395"/>
      <c r="C115" s="396"/>
      <c r="D115" s="382"/>
      <c r="E115" s="397"/>
      <c r="F115" s="397"/>
      <c r="G115" s="397"/>
      <c r="H115" s="397"/>
      <c r="I115" s="397"/>
      <c r="J115" s="397"/>
      <c r="K115" s="397"/>
    </row>
    <row r="116" spans="1:11" ht="16.5">
      <c r="A116" s="533"/>
      <c r="B116" s="395"/>
      <c r="C116" s="396"/>
      <c r="D116" s="382"/>
      <c r="E116" s="397"/>
      <c r="F116" s="397"/>
      <c r="G116" s="397"/>
      <c r="H116" s="397"/>
      <c r="I116" s="397"/>
      <c r="J116" s="397"/>
      <c r="K116" s="397"/>
    </row>
    <row r="117" spans="1:11" ht="16.5">
      <c r="A117" s="533"/>
      <c r="B117" s="395"/>
      <c r="C117" s="396"/>
      <c r="D117" s="382"/>
      <c r="E117" s="397"/>
      <c r="F117" s="397"/>
      <c r="G117" s="397"/>
      <c r="H117" s="397"/>
      <c r="I117" s="397"/>
      <c r="J117" s="397"/>
      <c r="K117" s="397"/>
    </row>
    <row r="118" spans="1:11" ht="16.5">
      <c r="A118" s="533"/>
      <c r="B118" s="395"/>
      <c r="C118" s="396"/>
      <c r="D118" s="382"/>
      <c r="E118" s="397"/>
      <c r="F118" s="397"/>
      <c r="G118" s="397"/>
      <c r="H118" s="397"/>
      <c r="I118" s="397"/>
      <c r="J118" s="397"/>
      <c r="K118" s="397"/>
    </row>
    <row r="119" spans="1:11" ht="16.5">
      <c r="A119" s="533"/>
      <c r="B119" s="395"/>
      <c r="C119" s="396"/>
      <c r="D119" s="382"/>
      <c r="E119" s="397"/>
      <c r="F119" s="397"/>
      <c r="G119" s="397"/>
      <c r="H119" s="397"/>
      <c r="I119" s="397"/>
      <c r="J119" s="397"/>
      <c r="K119" s="397"/>
    </row>
    <row r="120" spans="1:11" ht="16.5">
      <c r="A120" s="533"/>
      <c r="B120" s="395"/>
      <c r="C120" s="396"/>
      <c r="D120" s="382"/>
      <c r="E120" s="397"/>
      <c r="F120" s="397"/>
      <c r="G120" s="397"/>
      <c r="H120" s="397"/>
      <c r="I120" s="397"/>
      <c r="J120" s="397"/>
      <c r="K120" s="397"/>
    </row>
    <row r="121" spans="1:11" ht="16.5">
      <c r="A121" s="533"/>
      <c r="B121" s="395"/>
      <c r="C121" s="396"/>
      <c r="D121" s="382"/>
      <c r="E121" s="397"/>
      <c r="F121" s="397"/>
      <c r="G121" s="397"/>
      <c r="H121" s="397"/>
      <c r="I121" s="397"/>
      <c r="J121" s="397"/>
      <c r="K121" s="397"/>
    </row>
    <row r="122" spans="1:11" ht="16.5">
      <c r="A122" s="533"/>
      <c r="B122" s="395"/>
      <c r="C122" s="396"/>
      <c r="D122" s="382"/>
      <c r="E122" s="397"/>
      <c r="F122" s="397"/>
      <c r="G122" s="397"/>
      <c r="H122" s="397"/>
      <c r="I122" s="397"/>
      <c r="J122" s="397"/>
      <c r="K122" s="397"/>
    </row>
    <row r="123" spans="1:11" ht="16.5">
      <c r="A123" s="533"/>
      <c r="B123" s="395"/>
      <c r="C123" s="396"/>
      <c r="D123" s="382"/>
      <c r="E123" s="397"/>
      <c r="F123" s="397"/>
      <c r="G123" s="397"/>
      <c r="H123" s="397"/>
      <c r="I123" s="397"/>
      <c r="J123" s="397"/>
      <c r="K123" s="397"/>
    </row>
    <row r="124" spans="1:11" ht="16.5">
      <c r="A124" s="533"/>
      <c r="B124" s="395"/>
      <c r="C124" s="396"/>
      <c r="D124" s="382"/>
      <c r="E124" s="397"/>
      <c r="F124" s="397"/>
      <c r="G124" s="397"/>
      <c r="H124" s="397"/>
      <c r="I124" s="397"/>
      <c r="J124" s="397"/>
      <c r="K124" s="397"/>
    </row>
    <row r="125" spans="1:11" ht="16.5">
      <c r="A125" s="533"/>
      <c r="B125" s="395"/>
      <c r="C125" s="396"/>
      <c r="D125" s="382"/>
      <c r="E125" s="397"/>
      <c r="F125" s="397"/>
      <c r="G125" s="397"/>
      <c r="H125" s="397"/>
      <c r="I125" s="397"/>
      <c r="J125" s="397"/>
      <c r="K125" s="397"/>
    </row>
    <row r="126" spans="1:11" ht="16.5">
      <c r="A126" s="533"/>
      <c r="B126" s="395"/>
      <c r="C126" s="396"/>
      <c r="D126" s="382"/>
      <c r="E126" s="397"/>
      <c r="F126" s="397"/>
      <c r="G126" s="397"/>
      <c r="H126" s="397"/>
      <c r="I126" s="397"/>
      <c r="J126" s="397"/>
      <c r="K126" s="397"/>
    </row>
    <row r="127" spans="1:11" ht="16.5">
      <c r="A127" s="533"/>
      <c r="B127" s="395"/>
      <c r="C127" s="396"/>
      <c r="D127" s="382"/>
      <c r="E127" s="397"/>
      <c r="F127" s="397"/>
      <c r="G127" s="397"/>
      <c r="H127" s="397"/>
      <c r="I127" s="397"/>
      <c r="J127" s="397"/>
      <c r="K127" s="397"/>
    </row>
    <row r="128" spans="1:11" ht="16.5">
      <c r="A128" s="533"/>
      <c r="B128" s="395"/>
      <c r="C128" s="396"/>
      <c r="D128" s="382"/>
      <c r="E128" s="397"/>
      <c r="F128" s="397"/>
      <c r="G128" s="397"/>
      <c r="H128" s="397"/>
      <c r="I128" s="397"/>
      <c r="J128" s="397"/>
      <c r="K128" s="397"/>
    </row>
    <row r="129" spans="1:11" ht="16.5">
      <c r="A129" s="533"/>
      <c r="B129" s="395"/>
      <c r="C129" s="396"/>
      <c r="D129" s="382"/>
      <c r="E129" s="397"/>
      <c r="F129" s="397"/>
      <c r="G129" s="397"/>
      <c r="H129" s="397"/>
      <c r="I129" s="397"/>
      <c r="J129" s="397"/>
      <c r="K129" s="397"/>
    </row>
    <row r="130" spans="1:11" ht="16.5">
      <c r="A130" s="533"/>
      <c r="B130" s="395"/>
      <c r="C130" s="396"/>
      <c r="D130" s="382"/>
      <c r="E130" s="397"/>
      <c r="F130" s="397"/>
      <c r="G130" s="397"/>
      <c r="H130" s="397"/>
      <c r="I130" s="397"/>
      <c r="J130" s="397"/>
      <c r="K130" s="397"/>
    </row>
    <row r="131" spans="1:11" ht="16.5">
      <c r="A131" s="533"/>
      <c r="B131" s="395"/>
      <c r="C131" s="396"/>
      <c r="D131" s="382"/>
      <c r="E131" s="397"/>
      <c r="F131" s="397"/>
      <c r="G131" s="397"/>
      <c r="H131" s="397"/>
      <c r="I131" s="397"/>
      <c r="J131" s="397"/>
      <c r="K131" s="397"/>
    </row>
    <row r="132" spans="1:11" ht="16.5">
      <c r="A132" s="533"/>
      <c r="B132" s="395"/>
      <c r="C132" s="396"/>
      <c r="D132" s="382"/>
      <c r="E132" s="397"/>
      <c r="F132" s="397"/>
      <c r="G132" s="397"/>
      <c r="H132" s="397"/>
      <c r="I132" s="397"/>
      <c r="J132" s="397"/>
      <c r="K132" s="397"/>
    </row>
    <row r="133" spans="1:11" ht="16.5">
      <c r="A133" s="533"/>
      <c r="B133" s="395"/>
      <c r="C133" s="396"/>
      <c r="D133" s="382"/>
      <c r="E133" s="397"/>
      <c r="F133" s="397"/>
      <c r="G133" s="397"/>
      <c r="H133" s="397"/>
      <c r="I133" s="397"/>
      <c r="J133" s="397"/>
      <c r="K133" s="397"/>
    </row>
    <row r="134" spans="1:11" ht="16.5">
      <c r="A134" s="533"/>
      <c r="B134" s="395"/>
      <c r="C134" s="396"/>
      <c r="D134" s="382"/>
      <c r="E134" s="397"/>
      <c r="F134" s="397"/>
      <c r="G134" s="397"/>
      <c r="H134" s="397"/>
      <c r="I134" s="397"/>
      <c r="J134" s="397"/>
      <c r="K134" s="397"/>
    </row>
    <row r="135" spans="1:11" ht="16.5">
      <c r="A135" s="533"/>
      <c r="B135" s="395"/>
      <c r="C135" s="396"/>
      <c r="D135" s="382"/>
      <c r="E135" s="397"/>
      <c r="F135" s="397"/>
      <c r="G135" s="397"/>
      <c r="H135" s="397"/>
      <c r="I135" s="397"/>
      <c r="J135" s="397"/>
      <c r="K135" s="397"/>
    </row>
    <row r="136" spans="1:11" ht="16.5">
      <c r="A136" s="533"/>
      <c r="B136" s="395"/>
      <c r="C136" s="396"/>
      <c r="D136" s="382"/>
      <c r="E136" s="397"/>
      <c r="F136" s="397"/>
      <c r="G136" s="397"/>
      <c r="H136" s="397"/>
      <c r="I136" s="397"/>
      <c r="J136" s="397"/>
      <c r="K136" s="397"/>
    </row>
    <row r="137" spans="1:11" ht="16.5">
      <c r="A137" s="533"/>
      <c r="B137" s="395"/>
      <c r="C137" s="396"/>
      <c r="D137" s="382"/>
      <c r="E137" s="397"/>
      <c r="F137" s="397"/>
      <c r="G137" s="397"/>
      <c r="H137" s="397"/>
      <c r="I137" s="397"/>
      <c r="J137" s="397"/>
      <c r="K137" s="397"/>
    </row>
    <row r="138" spans="1:11" ht="16.5">
      <c r="A138" s="533"/>
      <c r="B138" s="395"/>
      <c r="C138" s="396"/>
      <c r="D138" s="382"/>
      <c r="E138" s="397"/>
      <c r="F138" s="397"/>
      <c r="G138" s="397"/>
      <c r="H138" s="397"/>
      <c r="I138" s="397"/>
      <c r="J138" s="397"/>
      <c r="K138" s="397"/>
    </row>
    <row r="139" spans="1:11" ht="16.5">
      <c r="A139" s="533"/>
      <c r="B139" s="395"/>
      <c r="C139" s="396"/>
      <c r="D139" s="382"/>
      <c r="E139" s="397"/>
      <c r="F139" s="397"/>
      <c r="G139" s="397"/>
      <c r="H139" s="397"/>
      <c r="I139" s="397"/>
      <c r="J139" s="397"/>
      <c r="K139" s="397"/>
    </row>
    <row r="140" spans="1:11" ht="16.5">
      <c r="A140" s="533"/>
      <c r="B140" s="395"/>
      <c r="C140" s="396"/>
      <c r="D140" s="382"/>
      <c r="E140" s="397"/>
      <c r="F140" s="397"/>
      <c r="G140" s="397"/>
      <c r="H140" s="397"/>
      <c r="I140" s="397"/>
      <c r="J140" s="397"/>
      <c r="K140" s="397"/>
    </row>
    <row r="141" spans="1:11" ht="16.5">
      <c r="A141" s="533"/>
      <c r="B141" s="395"/>
      <c r="C141" s="396"/>
      <c r="D141" s="382"/>
      <c r="E141" s="397"/>
      <c r="F141" s="397"/>
      <c r="G141" s="397"/>
      <c r="H141" s="397"/>
      <c r="I141" s="397"/>
      <c r="J141" s="397"/>
      <c r="K141" s="397"/>
    </row>
    <row r="142" spans="1:11" ht="16.5">
      <c r="A142" s="533"/>
      <c r="B142" s="395"/>
      <c r="C142" s="396"/>
      <c r="D142" s="382"/>
      <c r="E142" s="397"/>
      <c r="F142" s="397"/>
      <c r="G142" s="397"/>
      <c r="H142" s="397"/>
      <c r="I142" s="397"/>
      <c r="J142" s="397"/>
      <c r="K142" s="397"/>
    </row>
    <row r="143" spans="1:11" ht="16.5">
      <c r="A143" s="533"/>
      <c r="B143" s="395"/>
      <c r="C143" s="396"/>
      <c r="D143" s="382"/>
      <c r="E143" s="397"/>
      <c r="F143" s="397"/>
      <c r="G143" s="397"/>
      <c r="H143" s="397"/>
      <c r="I143" s="397"/>
      <c r="J143" s="397"/>
      <c r="K143" s="397"/>
    </row>
    <row r="144" spans="1:11" ht="16.5">
      <c r="A144" s="533"/>
      <c r="B144" s="395"/>
      <c r="C144" s="396"/>
      <c r="D144" s="382"/>
      <c r="E144" s="397"/>
      <c r="F144" s="397"/>
      <c r="G144" s="397"/>
      <c r="H144" s="397"/>
      <c r="I144" s="397"/>
      <c r="J144" s="397"/>
      <c r="K144" s="397"/>
    </row>
    <row r="145" spans="1:11" ht="16.5">
      <c r="A145" s="533"/>
      <c r="B145" s="395"/>
      <c r="C145" s="396"/>
      <c r="D145" s="382"/>
      <c r="E145" s="397"/>
      <c r="F145" s="397"/>
      <c r="G145" s="397"/>
      <c r="H145" s="397"/>
      <c r="I145" s="397"/>
      <c r="J145" s="397"/>
      <c r="K145" s="397"/>
    </row>
    <row r="146" spans="1:11" ht="16.5">
      <c r="A146" s="533"/>
      <c r="B146" s="395"/>
      <c r="C146" s="396"/>
      <c r="D146" s="382"/>
      <c r="E146" s="397"/>
      <c r="F146" s="397"/>
      <c r="G146" s="397"/>
      <c r="H146" s="397"/>
      <c r="I146" s="397"/>
      <c r="J146" s="397"/>
      <c r="K146" s="397"/>
    </row>
    <row r="147" spans="1:11" ht="16.5">
      <c r="A147" s="533"/>
      <c r="B147" s="395"/>
      <c r="C147" s="396"/>
      <c r="D147" s="382"/>
      <c r="E147" s="397"/>
      <c r="F147" s="397"/>
      <c r="G147" s="397"/>
      <c r="H147" s="397"/>
      <c r="I147" s="397"/>
      <c r="J147" s="397"/>
      <c r="K147" s="397"/>
    </row>
    <row r="148" spans="1:11" ht="16.5">
      <c r="A148" s="533"/>
      <c r="B148" s="395"/>
      <c r="C148" s="396"/>
      <c r="D148" s="382"/>
      <c r="E148" s="397"/>
      <c r="F148" s="397"/>
      <c r="G148" s="397"/>
      <c r="H148" s="397"/>
      <c r="I148" s="397"/>
      <c r="J148" s="397"/>
      <c r="K148" s="397"/>
    </row>
    <row r="149" spans="1:11" ht="16.5">
      <c r="A149" s="533"/>
      <c r="B149" s="395"/>
      <c r="C149" s="396"/>
      <c r="D149" s="382"/>
      <c r="E149" s="397"/>
      <c r="F149" s="397"/>
      <c r="G149" s="397"/>
      <c r="H149" s="397"/>
      <c r="I149" s="397"/>
      <c r="J149" s="397"/>
      <c r="K149" s="397"/>
    </row>
    <row r="150" spans="1:11" ht="16.5">
      <c r="A150" s="533"/>
      <c r="B150" s="395"/>
      <c r="C150" s="396"/>
      <c r="D150" s="382"/>
      <c r="E150" s="397"/>
      <c r="F150" s="397"/>
      <c r="G150" s="397"/>
      <c r="H150" s="397"/>
      <c r="I150" s="397"/>
      <c r="J150" s="397"/>
      <c r="K150" s="397"/>
    </row>
    <row r="151" spans="1:11" ht="16.5">
      <c r="A151" s="533"/>
      <c r="B151" s="395"/>
      <c r="C151" s="396"/>
      <c r="D151" s="382"/>
      <c r="E151" s="397"/>
      <c r="F151" s="397"/>
      <c r="G151" s="397"/>
      <c r="H151" s="397"/>
      <c r="I151" s="397"/>
      <c r="J151" s="397"/>
      <c r="K151" s="397"/>
    </row>
    <row r="152" spans="1:11" ht="16.5">
      <c r="A152" s="533"/>
      <c r="B152" s="395"/>
      <c r="C152" s="396"/>
      <c r="D152" s="382"/>
      <c r="E152" s="397"/>
      <c r="F152" s="397"/>
      <c r="G152" s="397"/>
      <c r="H152" s="397"/>
      <c r="I152" s="397"/>
      <c r="J152" s="397"/>
      <c r="K152" s="397"/>
    </row>
    <row r="153" spans="1:11" ht="16.5">
      <c r="A153" s="533"/>
      <c r="B153" s="395"/>
      <c r="C153" s="396"/>
      <c r="D153" s="382"/>
      <c r="E153" s="397"/>
      <c r="F153" s="397"/>
      <c r="G153" s="397"/>
      <c r="H153" s="397"/>
      <c r="I153" s="397"/>
      <c r="J153" s="397"/>
      <c r="K153" s="397"/>
    </row>
    <row r="154" spans="1:11" ht="16.5">
      <c r="A154" s="533"/>
      <c r="B154" s="395"/>
      <c r="C154" s="396"/>
      <c r="D154" s="382"/>
      <c r="E154" s="397"/>
      <c r="F154" s="397"/>
      <c r="G154" s="397"/>
      <c r="H154" s="397"/>
      <c r="I154" s="397"/>
      <c r="J154" s="397"/>
      <c r="K154" s="397"/>
    </row>
    <row r="155" spans="1:11" ht="16.5">
      <c r="A155" s="533"/>
      <c r="B155" s="395"/>
      <c r="C155" s="396"/>
      <c r="D155" s="382"/>
      <c r="E155" s="397"/>
      <c r="F155" s="397"/>
      <c r="G155" s="397"/>
      <c r="H155" s="397"/>
      <c r="I155" s="397"/>
      <c r="J155" s="397"/>
      <c r="K155" s="397"/>
    </row>
    <row r="156" spans="1:11" ht="16.5">
      <c r="A156" s="533"/>
      <c r="B156" s="395"/>
      <c r="C156" s="396"/>
      <c r="D156" s="382"/>
      <c r="E156" s="397"/>
      <c r="F156" s="397"/>
      <c r="G156" s="397"/>
      <c r="H156" s="397"/>
      <c r="I156" s="397"/>
      <c r="J156" s="397"/>
      <c r="K156" s="397"/>
    </row>
    <row r="157" spans="1:11" ht="16.5">
      <c r="A157" s="533"/>
      <c r="B157" s="395"/>
      <c r="C157" s="396"/>
      <c r="D157" s="382"/>
      <c r="E157" s="397"/>
      <c r="F157" s="397"/>
      <c r="G157" s="397"/>
      <c r="H157" s="397"/>
      <c r="I157" s="397"/>
      <c r="J157" s="397"/>
      <c r="K157" s="397"/>
    </row>
    <row r="158" spans="1:11" ht="16.5">
      <c r="A158" s="533"/>
      <c r="B158" s="395"/>
      <c r="C158" s="396"/>
      <c r="D158" s="382"/>
      <c r="E158" s="397"/>
      <c r="F158" s="397"/>
      <c r="G158" s="397"/>
      <c r="H158" s="397"/>
      <c r="I158" s="397"/>
      <c r="J158" s="397"/>
      <c r="K158" s="397"/>
    </row>
    <row r="159" spans="1:11" ht="16.5">
      <c r="A159" s="533"/>
      <c r="B159" s="395"/>
      <c r="C159" s="396"/>
      <c r="D159" s="382"/>
      <c r="E159" s="397"/>
      <c r="F159" s="397"/>
      <c r="G159" s="397"/>
      <c r="H159" s="397"/>
      <c r="I159" s="397"/>
      <c r="J159" s="397"/>
      <c r="K159" s="397"/>
    </row>
    <row r="160" spans="1:11" ht="16.5">
      <c r="A160" s="533"/>
      <c r="B160" s="395"/>
      <c r="C160" s="396"/>
      <c r="D160" s="382"/>
      <c r="E160" s="397"/>
      <c r="F160" s="397"/>
      <c r="G160" s="397"/>
      <c r="H160" s="397"/>
      <c r="I160" s="397"/>
      <c r="J160" s="397"/>
      <c r="K160" s="397"/>
    </row>
    <row r="161" spans="1:11" ht="16.5">
      <c r="A161" s="533"/>
      <c r="B161" s="395"/>
      <c r="C161" s="396"/>
      <c r="D161" s="382"/>
      <c r="E161" s="397"/>
      <c r="F161" s="397"/>
      <c r="G161" s="397"/>
      <c r="H161" s="397"/>
      <c r="I161" s="397"/>
      <c r="J161" s="397"/>
      <c r="K161" s="397"/>
    </row>
    <row r="162" spans="1:11" ht="16.5">
      <c r="A162" s="533"/>
      <c r="B162" s="395"/>
      <c r="C162" s="396"/>
      <c r="D162" s="382"/>
      <c r="E162" s="397"/>
      <c r="F162" s="397"/>
      <c r="G162" s="397"/>
      <c r="H162" s="397"/>
      <c r="I162" s="397"/>
      <c r="J162" s="397"/>
      <c r="K162" s="397"/>
    </row>
    <row r="163" spans="1:11" ht="16.5">
      <c r="A163" s="533"/>
      <c r="B163" s="395"/>
      <c r="C163" s="396"/>
      <c r="D163" s="382"/>
      <c r="E163" s="397"/>
      <c r="F163" s="397"/>
      <c r="G163" s="397"/>
      <c r="H163" s="397"/>
      <c r="I163" s="397"/>
      <c r="J163" s="397"/>
      <c r="K163" s="397"/>
    </row>
    <row r="164" spans="1:11" ht="16.5">
      <c r="A164" s="533"/>
      <c r="B164" s="395"/>
      <c r="C164" s="396"/>
      <c r="D164" s="382"/>
      <c r="E164" s="397"/>
      <c r="F164" s="397"/>
      <c r="G164" s="397"/>
      <c r="H164" s="397"/>
      <c r="I164" s="397"/>
      <c r="J164" s="397"/>
      <c r="K164" s="397"/>
    </row>
    <row r="165" spans="1:11" ht="16.5">
      <c r="A165" s="533"/>
      <c r="B165" s="395"/>
      <c r="C165" s="396"/>
      <c r="D165" s="382"/>
      <c r="E165" s="397"/>
      <c r="F165" s="397"/>
      <c r="G165" s="397"/>
      <c r="H165" s="397"/>
      <c r="I165" s="397"/>
      <c r="J165" s="397"/>
      <c r="K165" s="397"/>
    </row>
    <row r="166" spans="1:11" ht="16.5">
      <c r="A166" s="533"/>
      <c r="B166" s="395"/>
      <c r="C166" s="396"/>
      <c r="D166" s="382"/>
      <c r="E166" s="397"/>
      <c r="F166" s="397"/>
      <c r="G166" s="397"/>
      <c r="H166" s="397"/>
      <c r="I166" s="397"/>
      <c r="J166" s="397"/>
      <c r="K166" s="397"/>
    </row>
    <row r="167" spans="1:11" ht="16.5">
      <c r="A167" s="533"/>
      <c r="B167" s="395"/>
      <c r="C167" s="396"/>
      <c r="D167" s="382"/>
      <c r="E167" s="397"/>
      <c r="F167" s="397"/>
      <c r="G167" s="397"/>
      <c r="H167" s="397"/>
      <c r="I167" s="397"/>
      <c r="J167" s="397"/>
      <c r="K167" s="397"/>
    </row>
    <row r="168" spans="1:11" ht="16.5">
      <c r="A168" s="533"/>
      <c r="B168" s="395"/>
      <c r="C168" s="396"/>
      <c r="D168" s="382"/>
      <c r="E168" s="397"/>
      <c r="F168" s="397"/>
      <c r="G168" s="397"/>
      <c r="H168" s="397"/>
      <c r="I168" s="397"/>
      <c r="J168" s="397"/>
      <c r="K168" s="397"/>
    </row>
    <row r="169" spans="1:11" ht="16.5">
      <c r="A169" s="533"/>
      <c r="B169" s="395"/>
      <c r="C169" s="396"/>
      <c r="D169" s="382"/>
      <c r="E169" s="397"/>
      <c r="F169" s="397"/>
      <c r="G169" s="397"/>
      <c r="H169" s="397"/>
      <c r="I169" s="397"/>
      <c r="J169" s="397"/>
      <c r="K169" s="397"/>
    </row>
    <row r="170" spans="1:11" ht="16.5">
      <c r="A170" s="533"/>
      <c r="B170" s="395"/>
      <c r="C170" s="396"/>
      <c r="D170" s="382"/>
      <c r="E170" s="397"/>
      <c r="F170" s="397"/>
      <c r="G170" s="397"/>
      <c r="H170" s="397"/>
      <c r="I170" s="397"/>
      <c r="J170" s="397"/>
      <c r="K170" s="397"/>
    </row>
    <row r="171" spans="1:11" ht="16.5">
      <c r="A171" s="533"/>
      <c r="B171" s="395"/>
      <c r="C171" s="396"/>
      <c r="D171" s="382"/>
      <c r="E171" s="397"/>
      <c r="F171" s="397"/>
      <c r="G171" s="397"/>
      <c r="H171" s="397"/>
      <c r="I171" s="397"/>
      <c r="J171" s="397"/>
      <c r="K171" s="397"/>
    </row>
    <row r="172" spans="1:11" ht="16.5">
      <c r="A172" s="533"/>
      <c r="B172" s="395"/>
      <c r="C172" s="396"/>
      <c r="D172" s="382"/>
      <c r="E172" s="397"/>
      <c r="F172" s="397"/>
      <c r="G172" s="397"/>
      <c r="H172" s="397"/>
      <c r="I172" s="397"/>
      <c r="J172" s="397"/>
      <c r="K172" s="397"/>
    </row>
    <row r="173" spans="1:11" ht="16.5">
      <c r="A173" s="533"/>
      <c r="B173" s="395"/>
      <c r="C173" s="396"/>
      <c r="D173" s="382"/>
      <c r="E173" s="397"/>
      <c r="F173" s="397"/>
      <c r="G173" s="397"/>
      <c r="H173" s="397"/>
      <c r="I173" s="397"/>
      <c r="J173" s="397"/>
      <c r="K173" s="397"/>
    </row>
    <row r="174" spans="1:11" ht="16.5">
      <c r="A174" s="533"/>
      <c r="B174" s="395"/>
      <c r="C174" s="396"/>
      <c r="D174" s="382"/>
      <c r="E174" s="397"/>
      <c r="F174" s="397"/>
      <c r="G174" s="397"/>
      <c r="H174" s="397"/>
      <c r="I174" s="397"/>
      <c r="J174" s="397"/>
      <c r="K174" s="397"/>
    </row>
    <row r="175" spans="1:11" ht="16.5">
      <c r="A175" s="533"/>
      <c r="B175" s="395"/>
      <c r="C175" s="396"/>
      <c r="D175" s="382"/>
      <c r="E175" s="397"/>
      <c r="F175" s="397"/>
      <c r="G175" s="397"/>
      <c r="H175" s="397"/>
      <c r="I175" s="397"/>
      <c r="J175" s="397"/>
      <c r="K175" s="397"/>
    </row>
    <row r="176" spans="1:11" ht="16.5">
      <c r="A176" s="533"/>
      <c r="B176" s="395"/>
      <c r="C176" s="396"/>
      <c r="D176" s="382"/>
      <c r="E176" s="397"/>
      <c r="F176" s="397"/>
      <c r="G176" s="397"/>
      <c r="H176" s="397"/>
      <c r="I176" s="397"/>
      <c r="J176" s="397"/>
      <c r="K176" s="397"/>
    </row>
    <row r="177" spans="1:11" ht="16.5">
      <c r="A177" s="533"/>
      <c r="B177" s="395"/>
      <c r="C177" s="396"/>
      <c r="D177" s="382"/>
      <c r="E177" s="397"/>
      <c r="F177" s="397"/>
      <c r="G177" s="397"/>
      <c r="H177" s="397"/>
      <c r="I177" s="397"/>
      <c r="J177" s="397"/>
      <c r="K177" s="397"/>
    </row>
    <row r="178" spans="1:11" ht="16.5">
      <c r="A178" s="533"/>
      <c r="B178" s="395"/>
      <c r="C178" s="396"/>
      <c r="D178" s="382"/>
      <c r="E178" s="397"/>
      <c r="F178" s="397"/>
      <c r="G178" s="397"/>
      <c r="H178" s="397"/>
      <c r="I178" s="397"/>
      <c r="J178" s="397"/>
      <c r="K178" s="397"/>
    </row>
    <row r="179" spans="1:11" ht="16.5">
      <c r="A179" s="533"/>
      <c r="B179" s="395"/>
      <c r="C179" s="396"/>
      <c r="D179" s="382"/>
      <c r="E179" s="397"/>
      <c r="F179" s="397"/>
      <c r="G179" s="397"/>
      <c r="H179" s="397"/>
      <c r="I179" s="397"/>
      <c r="J179" s="397"/>
      <c r="K179" s="397"/>
    </row>
    <row r="180" spans="1:11" ht="16.5">
      <c r="A180" s="533"/>
      <c r="B180" s="395"/>
      <c r="C180" s="396"/>
      <c r="D180" s="382"/>
      <c r="E180" s="397"/>
      <c r="F180" s="397"/>
      <c r="G180" s="397"/>
      <c r="H180" s="397"/>
      <c r="I180" s="397"/>
      <c r="J180" s="397"/>
      <c r="K180" s="397"/>
    </row>
    <row r="181" spans="1:11" ht="16.5">
      <c r="A181" s="533"/>
      <c r="B181" s="395"/>
      <c r="C181" s="396"/>
      <c r="D181" s="382"/>
      <c r="E181" s="397"/>
      <c r="F181" s="397"/>
      <c r="G181" s="397"/>
      <c r="H181" s="397"/>
      <c r="I181" s="397"/>
      <c r="J181" s="397"/>
      <c r="K181" s="397"/>
    </row>
    <row r="182" spans="1:11" ht="16.5">
      <c r="A182" s="533"/>
      <c r="B182" s="395"/>
      <c r="C182" s="396"/>
      <c r="D182" s="382"/>
      <c r="E182" s="397"/>
      <c r="F182" s="397"/>
      <c r="G182" s="397"/>
      <c r="H182" s="397"/>
      <c r="I182" s="397"/>
      <c r="J182" s="397"/>
      <c r="K182" s="397"/>
    </row>
    <row r="183" spans="1:11" ht="16.5">
      <c r="A183" s="533"/>
      <c r="B183" s="395"/>
      <c r="C183" s="396"/>
      <c r="D183" s="382"/>
      <c r="E183" s="397"/>
      <c r="F183" s="397"/>
      <c r="G183" s="397"/>
      <c r="H183" s="397"/>
      <c r="I183" s="397"/>
      <c r="J183" s="397"/>
      <c r="K183" s="397"/>
    </row>
    <row r="184" spans="1:11" ht="16.5">
      <c r="A184" s="533"/>
      <c r="B184" s="395"/>
      <c r="C184" s="396"/>
      <c r="D184" s="382"/>
      <c r="E184" s="397"/>
      <c r="F184" s="397"/>
      <c r="G184" s="397"/>
      <c r="H184" s="397"/>
      <c r="I184" s="397"/>
      <c r="J184" s="397"/>
      <c r="K184" s="397"/>
    </row>
    <row r="185" spans="1:11" ht="16.5">
      <c r="A185" s="533"/>
      <c r="B185" s="395"/>
      <c r="C185" s="396"/>
      <c r="D185" s="382"/>
      <c r="E185" s="397"/>
      <c r="F185" s="397"/>
      <c r="G185" s="397"/>
      <c r="H185" s="397"/>
      <c r="I185" s="397"/>
      <c r="J185" s="397"/>
      <c r="K185" s="397"/>
    </row>
    <row r="186" spans="1:11" ht="16.5">
      <c r="A186" s="533"/>
      <c r="B186" s="395"/>
      <c r="C186" s="396"/>
      <c r="D186" s="382"/>
      <c r="E186" s="397"/>
      <c r="F186" s="397"/>
      <c r="G186" s="397"/>
      <c r="H186" s="397"/>
      <c r="I186" s="397"/>
      <c r="J186" s="397"/>
      <c r="K186" s="397"/>
    </row>
    <row r="187" spans="1:11" ht="16.5">
      <c r="A187" s="533"/>
      <c r="B187" s="395"/>
      <c r="C187" s="396"/>
      <c r="D187" s="382"/>
      <c r="E187" s="397"/>
      <c r="F187" s="397"/>
      <c r="G187" s="397"/>
      <c r="H187" s="397"/>
      <c r="I187" s="397"/>
      <c r="J187" s="397"/>
      <c r="K187" s="397"/>
    </row>
    <row r="188" spans="1:11" ht="16.5">
      <c r="A188" s="533"/>
      <c r="B188" s="395"/>
      <c r="C188" s="396"/>
      <c r="D188" s="382"/>
      <c r="E188" s="397"/>
      <c r="F188" s="397"/>
      <c r="G188" s="397"/>
      <c r="H188" s="397"/>
      <c r="I188" s="397"/>
      <c r="J188" s="397"/>
      <c r="K188" s="397"/>
    </row>
    <row r="189" spans="1:11" ht="16.5">
      <c r="A189" s="533"/>
      <c r="B189" s="395"/>
      <c r="C189" s="396"/>
      <c r="D189" s="382"/>
      <c r="E189" s="397"/>
      <c r="F189" s="397"/>
      <c r="G189" s="397"/>
      <c r="H189" s="397"/>
      <c r="I189" s="397"/>
      <c r="J189" s="397"/>
      <c r="K189" s="397"/>
    </row>
    <row r="190" spans="1:11" ht="16.5">
      <c r="A190" s="533"/>
      <c r="B190" s="395"/>
      <c r="C190" s="396"/>
      <c r="D190" s="382"/>
      <c r="E190" s="397"/>
      <c r="F190" s="397"/>
      <c r="G190" s="397"/>
      <c r="H190" s="397"/>
      <c r="I190" s="397"/>
      <c r="J190" s="397"/>
      <c r="K190" s="397"/>
    </row>
    <row r="191" spans="1:11" ht="16.5">
      <c r="A191" s="533"/>
      <c r="B191" s="395"/>
      <c r="C191" s="396"/>
      <c r="D191" s="382"/>
      <c r="E191" s="397"/>
      <c r="F191" s="397"/>
      <c r="G191" s="397"/>
      <c r="H191" s="397"/>
      <c r="I191" s="397"/>
      <c r="J191" s="397"/>
      <c r="K191" s="397"/>
    </row>
    <row r="192" spans="1:11" ht="16.5">
      <c r="A192" s="533"/>
      <c r="B192" s="395"/>
      <c r="C192" s="396"/>
      <c r="D192" s="382"/>
      <c r="E192" s="397"/>
      <c r="F192" s="397"/>
      <c r="G192" s="397"/>
      <c r="H192" s="397"/>
      <c r="I192" s="397"/>
      <c r="J192" s="397"/>
      <c r="K192" s="397"/>
    </row>
    <row r="193" spans="1:11" ht="16.5">
      <c r="A193" s="533"/>
      <c r="B193" s="395"/>
      <c r="C193" s="396"/>
      <c r="D193" s="382"/>
      <c r="E193" s="397"/>
      <c r="F193" s="397"/>
      <c r="G193" s="397"/>
      <c r="H193" s="397"/>
      <c r="I193" s="397"/>
      <c r="J193" s="397"/>
      <c r="K193" s="397"/>
    </row>
    <row r="194" spans="1:11" ht="16.5">
      <c r="A194" s="533"/>
      <c r="B194" s="395"/>
      <c r="C194" s="396"/>
      <c r="D194" s="382"/>
      <c r="E194" s="397"/>
      <c r="F194" s="397"/>
      <c r="G194" s="397"/>
      <c r="H194" s="397"/>
      <c r="I194" s="397"/>
      <c r="J194" s="397"/>
      <c r="K194" s="397"/>
    </row>
    <row r="195" spans="1:11" ht="16.5">
      <c r="A195" s="533"/>
      <c r="B195" s="395"/>
      <c r="C195" s="396"/>
      <c r="D195" s="382"/>
      <c r="E195" s="397"/>
      <c r="F195" s="397"/>
      <c r="G195" s="397"/>
      <c r="H195" s="397"/>
      <c r="I195" s="397"/>
      <c r="J195" s="397"/>
      <c r="K195" s="397"/>
    </row>
    <row r="196" spans="1:11" ht="16.5">
      <c r="A196" s="533"/>
      <c r="B196" s="395"/>
      <c r="C196" s="396"/>
      <c r="D196" s="382"/>
      <c r="E196" s="397"/>
      <c r="F196" s="397"/>
      <c r="G196" s="397"/>
      <c r="H196" s="397"/>
      <c r="I196" s="397"/>
      <c r="J196" s="397"/>
      <c r="K196" s="397"/>
    </row>
    <row r="197" spans="1:11" ht="16.5">
      <c r="A197" s="533"/>
      <c r="B197" s="395"/>
      <c r="C197" s="396"/>
      <c r="D197" s="382"/>
      <c r="E197" s="397"/>
      <c r="F197" s="397"/>
      <c r="G197" s="397"/>
      <c r="H197" s="397"/>
      <c r="I197" s="397"/>
      <c r="J197" s="397"/>
      <c r="K197" s="397"/>
    </row>
    <row r="198" spans="1:11" ht="16.5">
      <c r="A198" s="533"/>
      <c r="B198" s="395"/>
      <c r="C198" s="396"/>
      <c r="D198" s="382"/>
      <c r="E198" s="397"/>
      <c r="F198" s="397"/>
      <c r="G198" s="397"/>
      <c r="H198" s="397"/>
      <c r="I198" s="397"/>
      <c r="J198" s="397"/>
      <c r="K198" s="397"/>
    </row>
    <row r="199" spans="1:11" ht="16.5">
      <c r="A199" s="533"/>
      <c r="B199" s="395"/>
      <c r="C199" s="396"/>
      <c r="D199" s="382"/>
      <c r="E199" s="397"/>
      <c r="F199" s="397"/>
      <c r="G199" s="397"/>
      <c r="H199" s="397"/>
      <c r="I199" s="397"/>
      <c r="J199" s="397"/>
      <c r="K199" s="397"/>
    </row>
    <row r="200" spans="1:11" ht="16.5">
      <c r="A200" s="533"/>
      <c r="B200" s="395"/>
      <c r="C200" s="396"/>
      <c r="D200" s="382"/>
      <c r="E200" s="397"/>
      <c r="F200" s="397"/>
      <c r="G200" s="397"/>
      <c r="H200" s="397"/>
      <c r="I200" s="397"/>
      <c r="J200" s="397"/>
      <c r="K200" s="397"/>
    </row>
    <row r="201" spans="1:11" ht="16.5">
      <c r="A201" s="533"/>
      <c r="B201" s="395"/>
      <c r="C201" s="396"/>
      <c r="D201" s="382"/>
      <c r="E201" s="397"/>
      <c r="F201" s="397"/>
      <c r="G201" s="397"/>
      <c r="H201" s="397"/>
      <c r="I201" s="397"/>
      <c r="J201" s="397"/>
      <c r="K201" s="397"/>
    </row>
    <row r="202" spans="1:11" ht="16.5">
      <c r="A202" s="533"/>
      <c r="B202" s="395"/>
      <c r="C202" s="396"/>
      <c r="D202" s="382"/>
      <c r="E202" s="397"/>
      <c r="F202" s="397"/>
      <c r="G202" s="397"/>
      <c r="H202" s="397"/>
      <c r="I202" s="397"/>
      <c r="J202" s="397"/>
      <c r="K202" s="397"/>
    </row>
    <row r="203" spans="1:11" ht="16.5">
      <c r="A203" s="533"/>
      <c r="B203" s="395"/>
      <c r="C203" s="396"/>
      <c r="D203" s="382"/>
      <c r="E203" s="397"/>
      <c r="F203" s="397"/>
      <c r="G203" s="397"/>
      <c r="H203" s="397"/>
      <c r="I203" s="397"/>
      <c r="J203" s="397"/>
      <c r="K203" s="397"/>
    </row>
    <row r="204" spans="1:11" ht="16.5">
      <c r="A204" s="533"/>
      <c r="B204" s="395"/>
      <c r="C204" s="396"/>
      <c r="D204" s="382"/>
      <c r="E204" s="397"/>
      <c r="F204" s="397"/>
      <c r="G204" s="397"/>
      <c r="H204" s="397"/>
      <c r="I204" s="397"/>
      <c r="J204" s="397"/>
      <c r="K204" s="397"/>
    </row>
    <row r="205" spans="1:11" ht="16.5">
      <c r="A205" s="533"/>
      <c r="B205" s="395"/>
      <c r="C205" s="396"/>
      <c r="D205" s="382"/>
      <c r="E205" s="397"/>
      <c r="F205" s="397"/>
      <c r="G205" s="397"/>
      <c r="H205" s="397"/>
      <c r="I205" s="397"/>
      <c r="J205" s="397"/>
      <c r="K205" s="397"/>
    </row>
    <row r="206" spans="1:11" ht="16.5">
      <c r="A206" s="533"/>
      <c r="B206" s="395"/>
      <c r="C206" s="396"/>
      <c r="D206" s="382"/>
      <c r="E206" s="397"/>
      <c r="F206" s="397"/>
      <c r="G206" s="397"/>
      <c r="H206" s="397"/>
      <c r="I206" s="397"/>
      <c r="J206" s="397"/>
      <c r="K206" s="397"/>
    </row>
    <row r="207" spans="1:11" ht="16.5">
      <c r="A207" s="533"/>
      <c r="B207" s="395"/>
      <c r="C207" s="396"/>
      <c r="D207" s="382"/>
      <c r="E207" s="397"/>
      <c r="F207" s="397"/>
      <c r="G207" s="397"/>
      <c r="H207" s="397"/>
      <c r="I207" s="397"/>
      <c r="J207" s="397"/>
      <c r="K207" s="397"/>
    </row>
    <row r="208" spans="1:11" ht="16.5">
      <c r="A208" s="533"/>
      <c r="B208" s="395"/>
      <c r="C208" s="396"/>
      <c r="D208" s="382"/>
      <c r="E208" s="397"/>
      <c r="F208" s="397"/>
      <c r="G208" s="397"/>
      <c r="H208" s="397"/>
      <c r="I208" s="397"/>
      <c r="J208" s="397"/>
      <c r="K208" s="397"/>
    </row>
    <row r="209" spans="1:11" ht="16.5">
      <c r="A209" s="533"/>
      <c r="B209" s="395"/>
      <c r="C209" s="396"/>
      <c r="D209" s="382"/>
      <c r="E209" s="397"/>
      <c r="F209" s="397"/>
      <c r="G209" s="397"/>
      <c r="H209" s="397"/>
      <c r="I209" s="397"/>
      <c r="J209" s="397"/>
      <c r="K209" s="397"/>
    </row>
    <row r="210" spans="1:11" ht="16.5">
      <c r="A210" s="533"/>
      <c r="B210" s="395"/>
      <c r="C210" s="396"/>
      <c r="D210" s="382"/>
      <c r="E210" s="397"/>
      <c r="F210" s="397"/>
      <c r="G210" s="397"/>
      <c r="H210" s="397"/>
      <c r="I210" s="397"/>
      <c r="J210" s="397"/>
      <c r="K210" s="397"/>
    </row>
    <row r="211" spans="1:11" ht="16.5">
      <c r="A211" s="533"/>
      <c r="B211" s="395"/>
      <c r="C211" s="396"/>
      <c r="D211" s="382"/>
      <c r="E211" s="397"/>
      <c r="F211" s="397"/>
      <c r="G211" s="397"/>
      <c r="H211" s="397"/>
      <c r="I211" s="397"/>
      <c r="J211" s="397"/>
      <c r="K211" s="397"/>
    </row>
    <row r="212" spans="1:11" ht="16.5">
      <c r="A212" s="533"/>
      <c r="B212" s="395"/>
      <c r="C212" s="396"/>
      <c r="D212" s="382"/>
      <c r="E212" s="397"/>
      <c r="F212" s="397"/>
      <c r="G212" s="397"/>
      <c r="H212" s="397"/>
      <c r="I212" s="397"/>
      <c r="J212" s="397"/>
      <c r="K212" s="397"/>
    </row>
    <row r="213" spans="1:11" ht="16.5">
      <c r="A213" s="533"/>
      <c r="B213" s="395"/>
      <c r="C213" s="396"/>
      <c r="D213" s="382"/>
      <c r="E213" s="397"/>
      <c r="F213" s="397"/>
      <c r="G213" s="397"/>
      <c r="H213" s="397"/>
      <c r="I213" s="397"/>
      <c r="J213" s="397"/>
      <c r="K213" s="397"/>
    </row>
    <row r="214" spans="1:11" ht="16.5">
      <c r="A214" s="533"/>
      <c r="B214" s="395"/>
      <c r="C214" s="396"/>
      <c r="D214" s="382"/>
      <c r="E214" s="397"/>
      <c r="F214" s="397"/>
      <c r="G214" s="397"/>
      <c r="H214" s="397"/>
      <c r="I214" s="397"/>
      <c r="J214" s="397"/>
      <c r="K214" s="397"/>
    </row>
    <row r="215" spans="1:11" ht="16.5">
      <c r="A215" s="533"/>
      <c r="B215" s="395"/>
      <c r="C215" s="396"/>
      <c r="D215" s="382"/>
      <c r="E215" s="397"/>
      <c r="F215" s="397"/>
      <c r="G215" s="397"/>
      <c r="H215" s="397"/>
      <c r="I215" s="397"/>
      <c r="J215" s="397"/>
      <c r="K215" s="397"/>
    </row>
    <row r="216" spans="1:11" ht="16.5">
      <c r="A216" s="533"/>
      <c r="B216" s="395"/>
      <c r="C216" s="396"/>
      <c r="D216" s="382"/>
      <c r="E216" s="397"/>
      <c r="F216" s="397"/>
      <c r="G216" s="397"/>
      <c r="H216" s="397"/>
      <c r="I216" s="397"/>
      <c r="J216" s="397"/>
      <c r="K216" s="397"/>
    </row>
    <row r="217" spans="1:11" ht="16.5">
      <c r="A217" s="533"/>
      <c r="B217" s="395"/>
      <c r="C217" s="396"/>
      <c r="D217" s="382"/>
      <c r="E217" s="397"/>
      <c r="F217" s="397"/>
      <c r="G217" s="397"/>
      <c r="H217" s="397"/>
      <c r="I217" s="397"/>
      <c r="J217" s="397"/>
      <c r="K217" s="397"/>
    </row>
    <row r="218" spans="1:11" ht="16.5">
      <c r="A218" s="533"/>
      <c r="B218" s="395"/>
      <c r="C218" s="396"/>
      <c r="D218" s="382"/>
      <c r="E218" s="397"/>
      <c r="F218" s="397"/>
      <c r="G218" s="397"/>
      <c r="H218" s="397"/>
      <c r="I218" s="397"/>
      <c r="J218" s="397"/>
      <c r="K218" s="397"/>
    </row>
    <row r="219" spans="1:11" ht="16.5">
      <c r="A219" s="533"/>
      <c r="B219" s="395"/>
      <c r="C219" s="396"/>
      <c r="D219" s="382"/>
      <c r="E219" s="397"/>
      <c r="F219" s="397"/>
      <c r="G219" s="397"/>
      <c r="H219" s="397"/>
      <c r="I219" s="397"/>
      <c r="J219" s="397"/>
      <c r="K219" s="397"/>
    </row>
    <row r="220" spans="1:11" ht="16.5">
      <c r="A220" s="533"/>
      <c r="B220" s="395"/>
      <c r="C220" s="396"/>
      <c r="D220" s="382"/>
      <c r="E220" s="397"/>
      <c r="F220" s="397"/>
      <c r="G220" s="397"/>
      <c r="H220" s="397"/>
      <c r="I220" s="397"/>
      <c r="J220" s="397"/>
      <c r="K220" s="397"/>
    </row>
    <row r="221" spans="1:11" ht="16.5">
      <c r="A221" s="533"/>
      <c r="B221" s="395"/>
      <c r="C221" s="396"/>
      <c r="D221" s="382"/>
      <c r="E221" s="397"/>
      <c r="F221" s="397"/>
      <c r="G221" s="397"/>
      <c r="H221" s="397"/>
      <c r="I221" s="397"/>
      <c r="J221" s="397"/>
      <c r="K221" s="397"/>
    </row>
    <row r="222" spans="1:11" ht="16.5">
      <c r="A222" s="533"/>
      <c r="B222" s="395"/>
      <c r="C222" s="396"/>
      <c r="D222" s="382"/>
      <c r="E222" s="397"/>
      <c r="F222" s="397"/>
      <c r="G222" s="397"/>
      <c r="H222" s="397"/>
      <c r="I222" s="397"/>
      <c r="J222" s="397"/>
      <c r="K222" s="397"/>
    </row>
    <row r="223" spans="1:11" ht="16.5">
      <c r="A223" s="533"/>
      <c r="B223" s="395"/>
      <c r="C223" s="396"/>
      <c r="D223" s="382"/>
      <c r="E223" s="397"/>
      <c r="F223" s="397"/>
      <c r="G223" s="397"/>
      <c r="H223" s="397"/>
      <c r="I223" s="397"/>
      <c r="J223" s="397"/>
      <c r="K223" s="397"/>
    </row>
    <row r="224" spans="1:11" ht="16.5">
      <c r="A224" s="533"/>
      <c r="B224" s="395"/>
      <c r="C224" s="396"/>
      <c r="D224" s="382"/>
      <c r="E224" s="397"/>
      <c r="F224" s="397"/>
      <c r="G224" s="397"/>
      <c r="H224" s="397"/>
      <c r="I224" s="397"/>
      <c r="J224" s="397"/>
      <c r="K224" s="397"/>
    </row>
    <row r="225" spans="1:11" ht="16.5">
      <c r="A225" s="533"/>
      <c r="B225" s="395"/>
      <c r="C225" s="396"/>
      <c r="D225" s="382"/>
      <c r="E225" s="397"/>
      <c r="F225" s="397"/>
      <c r="G225" s="397"/>
      <c r="H225" s="397"/>
      <c r="I225" s="397"/>
      <c r="J225" s="397"/>
      <c r="K225" s="397"/>
    </row>
    <row r="226" spans="1:11" ht="16.5">
      <c r="A226" s="533"/>
      <c r="B226" s="395"/>
      <c r="C226" s="396"/>
      <c r="D226" s="382"/>
      <c r="E226" s="397"/>
      <c r="F226" s="397"/>
      <c r="G226" s="397"/>
      <c r="H226" s="397"/>
      <c r="I226" s="397"/>
      <c r="J226" s="397"/>
      <c r="K226" s="397"/>
    </row>
    <row r="227" spans="1:11" ht="16.5">
      <c r="A227" s="533"/>
      <c r="B227" s="395"/>
      <c r="C227" s="396"/>
      <c r="D227" s="382"/>
      <c r="E227" s="397"/>
      <c r="F227" s="397"/>
      <c r="G227" s="397"/>
      <c r="H227" s="397"/>
      <c r="I227" s="397"/>
      <c r="J227" s="397"/>
      <c r="K227" s="397"/>
    </row>
    <row r="228" spans="1:11" ht="16.5">
      <c r="A228" s="533"/>
      <c r="B228" s="395"/>
      <c r="C228" s="396"/>
      <c r="D228" s="382"/>
      <c r="E228" s="397"/>
      <c r="F228" s="397"/>
      <c r="G228" s="397"/>
      <c r="H228" s="397"/>
      <c r="I228" s="397"/>
      <c r="J228" s="397"/>
      <c r="K228" s="397"/>
    </row>
    <row r="229" spans="1:11" ht="16.5">
      <c r="A229" s="533"/>
      <c r="B229" s="395"/>
      <c r="C229" s="396"/>
      <c r="D229" s="382"/>
      <c r="E229" s="397"/>
      <c r="F229" s="397"/>
      <c r="G229" s="397"/>
      <c r="H229" s="397"/>
      <c r="I229" s="397"/>
      <c r="J229" s="397"/>
      <c r="K229" s="397"/>
    </row>
    <row r="230" spans="1:11" ht="16.5">
      <c r="A230" s="533"/>
      <c r="B230" s="395"/>
      <c r="C230" s="396"/>
      <c r="D230" s="382"/>
      <c r="E230" s="397"/>
      <c r="F230" s="397"/>
      <c r="G230" s="397"/>
      <c r="H230" s="397"/>
      <c r="I230" s="397"/>
      <c r="J230" s="397"/>
      <c r="K230" s="397"/>
    </row>
    <row r="231" spans="1:11" ht="16.5">
      <c r="A231" s="533"/>
      <c r="B231" s="395"/>
      <c r="C231" s="396"/>
      <c r="D231" s="382"/>
      <c r="E231" s="397"/>
      <c r="F231" s="397"/>
      <c r="G231" s="397"/>
      <c r="H231" s="397"/>
      <c r="I231" s="397"/>
      <c r="J231" s="397"/>
      <c r="K231" s="397"/>
    </row>
    <row r="232" spans="1:11" ht="16.5">
      <c r="A232" s="533"/>
      <c r="B232" s="395"/>
      <c r="C232" s="396"/>
      <c r="D232" s="382"/>
      <c r="E232" s="397"/>
      <c r="F232" s="397"/>
      <c r="G232" s="397"/>
      <c r="H232" s="397"/>
      <c r="I232" s="397"/>
      <c r="J232" s="397"/>
      <c r="K232" s="397"/>
    </row>
    <row r="233" spans="1:11" ht="16.5">
      <c r="A233" s="533"/>
      <c r="B233" s="395"/>
      <c r="C233" s="396"/>
      <c r="D233" s="382"/>
      <c r="E233" s="397"/>
      <c r="F233" s="397"/>
      <c r="G233" s="397"/>
      <c r="H233" s="397"/>
      <c r="I233" s="397"/>
      <c r="J233" s="397"/>
      <c r="K233" s="397"/>
    </row>
    <row r="234" spans="1:11" ht="16.5">
      <c r="A234" s="533"/>
      <c r="B234" s="395"/>
      <c r="C234" s="396"/>
      <c r="D234" s="382"/>
      <c r="E234" s="397"/>
      <c r="F234" s="397"/>
      <c r="G234" s="397"/>
      <c r="H234" s="397"/>
      <c r="I234" s="397"/>
      <c r="J234" s="397"/>
      <c r="K234" s="397"/>
    </row>
    <row r="235" spans="1:11" ht="16.5">
      <c r="A235" s="533"/>
      <c r="B235" s="395"/>
      <c r="C235" s="396"/>
      <c r="D235" s="382"/>
      <c r="E235" s="397"/>
      <c r="F235" s="397"/>
      <c r="G235" s="397"/>
      <c r="H235" s="397"/>
      <c r="I235" s="397"/>
      <c r="J235" s="397"/>
      <c r="K235" s="397"/>
    </row>
    <row r="236" spans="1:11" ht="16.5">
      <c r="A236" s="533"/>
      <c r="B236" s="395"/>
      <c r="C236" s="396"/>
      <c r="D236" s="382"/>
      <c r="E236" s="397"/>
      <c r="F236" s="397"/>
      <c r="G236" s="397"/>
      <c r="H236" s="397"/>
      <c r="I236" s="397"/>
      <c r="J236" s="397"/>
      <c r="K236" s="397"/>
    </row>
    <row r="237" spans="1:11" ht="16.5">
      <c r="A237" s="533"/>
      <c r="B237" s="395"/>
      <c r="C237" s="396"/>
      <c r="D237" s="382"/>
      <c r="E237" s="397"/>
      <c r="F237" s="397"/>
      <c r="G237" s="397"/>
      <c r="H237" s="397"/>
      <c r="I237" s="397"/>
      <c r="J237" s="397"/>
      <c r="K237" s="397"/>
    </row>
    <row r="238" spans="1:11" ht="16.5">
      <c r="A238" s="533"/>
      <c r="B238" s="395"/>
      <c r="C238" s="396"/>
      <c r="D238" s="382"/>
      <c r="E238" s="397"/>
      <c r="F238" s="397"/>
      <c r="G238" s="397"/>
      <c r="H238" s="397"/>
      <c r="I238" s="397"/>
      <c r="J238" s="397"/>
      <c r="K238" s="397"/>
    </row>
    <row r="239" spans="1:11" ht="16.5">
      <c r="A239" s="533"/>
      <c r="B239" s="395"/>
      <c r="C239" s="396"/>
      <c r="D239" s="382"/>
      <c r="E239" s="397"/>
      <c r="F239" s="397"/>
      <c r="G239" s="397"/>
      <c r="H239" s="397"/>
      <c r="I239" s="397"/>
      <c r="J239" s="397"/>
      <c r="K239" s="397"/>
    </row>
    <row r="240" spans="1:11" ht="16.5">
      <c r="A240" s="533"/>
      <c r="B240" s="395"/>
      <c r="C240" s="396"/>
      <c r="D240" s="382"/>
      <c r="E240" s="397"/>
      <c r="F240" s="397"/>
      <c r="G240" s="397"/>
      <c r="H240" s="397"/>
      <c r="I240" s="397"/>
      <c r="J240" s="397"/>
      <c r="K240" s="397"/>
    </row>
    <row r="241" spans="1:11" ht="16.5">
      <c r="A241" s="533"/>
      <c r="B241" s="395"/>
      <c r="C241" s="396"/>
      <c r="D241" s="382"/>
      <c r="E241" s="397"/>
      <c r="F241" s="397"/>
      <c r="G241" s="397"/>
      <c r="H241" s="397"/>
      <c r="I241" s="397"/>
      <c r="J241" s="397"/>
      <c r="K241" s="397"/>
    </row>
    <row r="242" spans="1:11" ht="16.5">
      <c r="A242" s="533"/>
      <c r="B242" s="395"/>
      <c r="C242" s="396"/>
      <c r="D242" s="382"/>
      <c r="E242" s="397"/>
      <c r="F242" s="397"/>
      <c r="G242" s="397"/>
      <c r="H242" s="397"/>
      <c r="I242" s="397"/>
      <c r="J242" s="397"/>
      <c r="K242" s="397"/>
    </row>
    <row r="243" spans="1:11" ht="16.5">
      <c r="A243" s="533"/>
      <c r="B243" s="395"/>
      <c r="C243" s="396"/>
      <c r="D243" s="382"/>
      <c r="E243" s="397"/>
      <c r="F243" s="397"/>
      <c r="G243" s="397"/>
      <c r="H243" s="397"/>
      <c r="I243" s="397"/>
      <c r="J243" s="397"/>
      <c r="K243" s="397"/>
    </row>
    <row r="244" spans="1:11" ht="16.5">
      <c r="A244" s="533"/>
      <c r="B244" s="395"/>
      <c r="C244" s="396"/>
      <c r="D244" s="382"/>
      <c r="E244" s="397"/>
      <c r="F244" s="397"/>
      <c r="G244" s="397"/>
      <c r="H244" s="397"/>
      <c r="I244" s="397"/>
      <c r="J244" s="397"/>
      <c r="K244" s="397"/>
    </row>
    <row r="245" spans="1:11" ht="16.5">
      <c r="A245" s="533"/>
      <c r="B245" s="395"/>
      <c r="C245" s="396"/>
      <c r="D245" s="382"/>
      <c r="E245" s="397"/>
      <c r="F245" s="397"/>
      <c r="G245" s="397"/>
      <c r="H245" s="397"/>
      <c r="I245" s="397"/>
      <c r="J245" s="397"/>
      <c r="K245" s="397"/>
    </row>
    <row r="246" spans="1:11" ht="16.5">
      <c r="A246" s="533"/>
      <c r="B246" s="395"/>
      <c r="C246" s="396"/>
      <c r="D246" s="382"/>
      <c r="E246" s="397"/>
      <c r="F246" s="397"/>
      <c r="G246" s="397"/>
      <c r="H246" s="397"/>
      <c r="I246" s="397"/>
      <c r="J246" s="397"/>
      <c r="K246" s="397"/>
    </row>
    <row r="247" spans="1:11" ht="16.5">
      <c r="A247" s="533"/>
      <c r="B247" s="395"/>
      <c r="C247" s="396"/>
      <c r="D247" s="382"/>
      <c r="E247" s="397"/>
      <c r="F247" s="397"/>
      <c r="G247" s="397"/>
      <c r="H247" s="397"/>
      <c r="I247" s="397"/>
      <c r="J247" s="397"/>
      <c r="K247" s="397"/>
    </row>
    <row r="248" spans="1:11" ht="16.5">
      <c r="A248" s="533"/>
      <c r="B248" s="395"/>
      <c r="C248" s="396"/>
      <c r="D248" s="382"/>
      <c r="E248" s="397"/>
      <c r="F248" s="397"/>
      <c r="G248" s="397"/>
      <c r="H248" s="397"/>
      <c r="I248" s="397"/>
      <c r="J248" s="397"/>
      <c r="K248" s="397"/>
    </row>
    <row r="249" spans="1:11" ht="16.5">
      <c r="A249" s="533"/>
      <c r="B249" s="395"/>
      <c r="C249" s="396"/>
      <c r="D249" s="382"/>
      <c r="E249" s="397"/>
      <c r="F249" s="397"/>
      <c r="G249" s="397"/>
      <c r="H249" s="397"/>
      <c r="I249" s="397"/>
      <c r="J249" s="397"/>
      <c r="K249" s="397"/>
    </row>
  </sheetData>
  <sheetProtection/>
  <mergeCells count="11">
    <mergeCell ref="B2:K2"/>
    <mergeCell ref="D6:D7"/>
    <mergeCell ref="E6:J6"/>
    <mergeCell ref="K6:K7"/>
    <mergeCell ref="J1:K1"/>
    <mergeCell ref="B24:K24"/>
    <mergeCell ref="A3:K3"/>
    <mergeCell ref="A4:K4"/>
    <mergeCell ref="A6:A7"/>
    <mergeCell ref="B6:B7"/>
    <mergeCell ref="C6:C7"/>
  </mergeCells>
  <printOptions horizontalCentered="1"/>
  <pageMargins left="0" right="0" top="0" bottom="0" header="0.2755905511811024" footer="0.3937007874015748"/>
  <pageSetup fitToHeight="0" fitToWidth="1" horizontalDpi="600" verticalDpi="600" orientation="landscape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258"/>
  <sheetViews>
    <sheetView zoomScale="79" zoomScaleNormal="79" zoomScalePageLayoutView="0" workbookViewId="0" topLeftCell="A15">
      <selection activeCell="A4" sqref="A4:P4"/>
    </sheetView>
  </sheetViews>
  <sheetFormatPr defaultColWidth="9.140625" defaultRowHeight="12.75"/>
  <cols>
    <col min="1" max="1" width="5.421875" style="351" customWidth="1"/>
    <col min="2" max="2" width="53.57421875" style="347" customWidth="1"/>
    <col min="3" max="3" width="12.8515625" style="348" customWidth="1"/>
    <col min="4" max="4" width="16.140625" style="351" customWidth="1"/>
    <col min="5" max="5" width="11.57421875" style="331" customWidth="1"/>
    <col min="6" max="6" width="12.8515625" style="331" customWidth="1"/>
    <col min="7" max="7" width="12.57421875" style="331" customWidth="1"/>
    <col min="8" max="8" width="14.421875" style="331" customWidth="1"/>
    <col min="9" max="9" width="14.8515625" style="331" customWidth="1"/>
    <col min="10" max="10" width="18.7109375" style="331" customWidth="1"/>
    <col min="11" max="11" width="9.140625" style="331" customWidth="1"/>
    <col min="12" max="12" width="13.421875" style="331" customWidth="1"/>
    <col min="13" max="13" width="16.421875" style="331" customWidth="1"/>
    <col min="14" max="14" width="9.140625" style="331" customWidth="1"/>
    <col min="15" max="15" width="10.140625" style="331" bestFit="1" customWidth="1"/>
    <col min="16" max="16384" width="9.140625" style="331" customWidth="1"/>
  </cols>
  <sheetData>
    <row r="1" spans="1:10" ht="18" customHeight="1">
      <c r="A1" s="331"/>
      <c r="D1" s="348"/>
      <c r="I1" s="365" t="s">
        <v>702</v>
      </c>
      <c r="J1" s="684" t="s">
        <v>704</v>
      </c>
    </row>
    <row r="2" spans="1:10" ht="18" customHeight="1">
      <c r="A2" s="331"/>
      <c r="B2" s="1764" t="s">
        <v>476</v>
      </c>
      <c r="C2" s="1764"/>
      <c r="D2" s="1764"/>
      <c r="E2" s="1764"/>
      <c r="F2" s="1764"/>
      <c r="G2" s="1764"/>
      <c r="H2" s="1764"/>
      <c r="I2" s="1764"/>
      <c r="J2" s="1764"/>
    </row>
    <row r="3" spans="1:10" ht="18" customHeight="1">
      <c r="A3" s="1765" t="s">
        <v>331</v>
      </c>
      <c r="B3" s="1765"/>
      <c r="C3" s="1765"/>
      <c r="D3" s="1765"/>
      <c r="E3" s="1765"/>
      <c r="F3" s="1765"/>
      <c r="G3" s="1765"/>
      <c r="H3" s="1765"/>
      <c r="I3" s="1765"/>
      <c r="J3" s="1765"/>
    </row>
    <row r="4" spans="1:10" ht="18" customHeight="1">
      <c r="A4" s="1765" t="s">
        <v>712</v>
      </c>
      <c r="B4" s="1765"/>
      <c r="C4" s="1765"/>
      <c r="D4" s="1765"/>
      <c r="E4" s="1765"/>
      <c r="F4" s="1765"/>
      <c r="G4" s="1765"/>
      <c r="H4" s="1765"/>
      <c r="I4" s="1765"/>
      <c r="J4" s="1765"/>
    </row>
    <row r="5" spans="1:10" ht="29.25" customHeight="1">
      <c r="A5" s="382"/>
      <c r="B5" s="395"/>
      <c r="C5" s="396"/>
      <c r="D5" s="382"/>
      <c r="E5" s="397"/>
      <c r="F5" s="397"/>
      <c r="G5" s="397"/>
      <c r="H5" s="397"/>
      <c r="I5" s="397"/>
      <c r="J5" s="397"/>
    </row>
    <row r="6" spans="1:10" s="349" customFormat="1" ht="91.5" customHeight="1">
      <c r="A6" s="406" t="s">
        <v>0</v>
      </c>
      <c r="B6" s="406" t="s">
        <v>211</v>
      </c>
      <c r="C6" s="406" t="s">
        <v>104</v>
      </c>
      <c r="D6" s="383" t="s">
        <v>701</v>
      </c>
      <c r="E6" s="383" t="s">
        <v>695</v>
      </c>
      <c r="F6" s="383" t="s">
        <v>696</v>
      </c>
      <c r="G6" s="383" t="s">
        <v>697</v>
      </c>
      <c r="H6" s="383" t="s">
        <v>698</v>
      </c>
      <c r="I6" s="383" t="s">
        <v>699</v>
      </c>
      <c r="J6" s="383" t="s">
        <v>700</v>
      </c>
    </row>
    <row r="7" spans="1:10" s="349" customFormat="1" ht="44.25" customHeight="1">
      <c r="A7" s="406" t="s">
        <v>29</v>
      </c>
      <c r="B7" s="659" t="s">
        <v>632</v>
      </c>
      <c r="C7" s="406" t="s">
        <v>293</v>
      </c>
      <c r="D7" s="714">
        <f>'[5]BM5 '!K7</f>
        <v>4138.27022</v>
      </c>
      <c r="E7" s="729">
        <f>E8+E26+E27</f>
        <v>1347.8999999999999</v>
      </c>
      <c r="F7" s="729">
        <f>F8+F26+F27</f>
        <v>1553.3999999999999</v>
      </c>
      <c r="G7" s="729">
        <f>G8+G26+G27</f>
        <v>1786</v>
      </c>
      <c r="H7" s="729">
        <f>H8+H26+H27</f>
        <v>2053.7</v>
      </c>
      <c r="I7" s="729">
        <f>I8+I26+I27</f>
        <v>2362.4</v>
      </c>
      <c r="J7" s="425">
        <f>SUM(E7:I7)/5</f>
        <v>1820.6799999999998</v>
      </c>
    </row>
    <row r="8" spans="1:22" s="329" customFormat="1" ht="36.75" customHeight="1">
      <c r="A8" s="386" t="s">
        <v>4</v>
      </c>
      <c r="B8" s="387" t="s">
        <v>984</v>
      </c>
      <c r="C8" s="383"/>
      <c r="D8" s="714">
        <f>'[5]BM5 '!$K$8</f>
        <v>4000.36</v>
      </c>
      <c r="E8" s="426">
        <f>E9</f>
        <v>1303</v>
      </c>
      <c r="F8" s="426">
        <f>F9</f>
        <v>1501.3</v>
      </c>
      <c r="G8" s="426">
        <f>G9</f>
        <v>1726.7</v>
      </c>
      <c r="H8" s="426">
        <f>H9</f>
        <v>1986.6</v>
      </c>
      <c r="I8" s="426">
        <f>I9</f>
        <v>2286.1</v>
      </c>
      <c r="J8" s="425">
        <f>SUM(E8:I8)/5</f>
        <v>1760.7400000000002</v>
      </c>
      <c r="K8" s="356"/>
      <c r="M8" s="357"/>
      <c r="N8" s="356"/>
      <c r="P8" s="357"/>
      <c r="Q8" s="356"/>
      <c r="S8" s="357"/>
      <c r="T8" s="356"/>
      <c r="V8" s="357"/>
    </row>
    <row r="9" spans="1:22" s="329" customFormat="1" ht="36.75" customHeight="1">
      <c r="A9" s="386"/>
      <c r="B9" s="657" t="s">
        <v>631</v>
      </c>
      <c r="C9" s="658" t="s">
        <v>293</v>
      </c>
      <c r="D9" s="1079">
        <f>D8</f>
        <v>4000.36</v>
      </c>
      <c r="E9" s="430">
        <v>1303</v>
      </c>
      <c r="F9" s="415">
        <v>1501.3</v>
      </c>
      <c r="G9" s="415">
        <v>1726.7</v>
      </c>
      <c r="H9" s="415">
        <v>1986.6</v>
      </c>
      <c r="I9" s="415">
        <v>2286.1</v>
      </c>
      <c r="J9" s="415">
        <f>SUM(E9:I9)/5</f>
        <v>1760.7400000000002</v>
      </c>
      <c r="K9" s="356"/>
      <c r="M9" s="357"/>
      <c r="N9" s="356"/>
      <c r="P9" s="357"/>
      <c r="Q9" s="356"/>
      <c r="S9" s="357"/>
      <c r="T9" s="356"/>
      <c r="V9" s="357"/>
    </row>
    <row r="10" spans="1:22" s="972" customFormat="1" ht="45" customHeight="1">
      <c r="A10" s="991"/>
      <c r="B10" s="992" t="s">
        <v>231</v>
      </c>
      <c r="C10" s="928" t="s">
        <v>213</v>
      </c>
      <c r="D10" s="714"/>
      <c r="E10" s="1135">
        <f>(E9/'[5]BM5 '!$J$9)*100-100</f>
        <v>13.888646097369133</v>
      </c>
      <c r="F10" s="1135">
        <f>(F9/E9)*100-100</f>
        <v>15.21872601688412</v>
      </c>
      <c r="G10" s="1135">
        <f>(G9/F9)*100-100</f>
        <v>15.013654832478522</v>
      </c>
      <c r="H10" s="1135">
        <f>(H9/G9)*100-100</f>
        <v>15.05183297619736</v>
      </c>
      <c r="I10" s="1135">
        <f>(I9/H9)*100-100</f>
        <v>15.076009262055763</v>
      </c>
      <c r="J10" s="930">
        <f>SUM(E10:I10)/5</f>
        <v>14.84977383699698</v>
      </c>
      <c r="K10" s="993"/>
      <c r="L10" s="932"/>
      <c r="M10" s="994"/>
      <c r="N10" s="993"/>
      <c r="P10" s="994"/>
      <c r="Q10" s="993"/>
      <c r="S10" s="994"/>
      <c r="T10" s="993"/>
      <c r="V10" s="994"/>
    </row>
    <row r="11" spans="1:22" s="329" customFormat="1" ht="35.25" customHeight="1">
      <c r="A11" s="386" t="s">
        <v>8</v>
      </c>
      <c r="B11" s="387" t="s">
        <v>232</v>
      </c>
      <c r="C11" s="383"/>
      <c r="D11" s="714"/>
      <c r="E11" s="433"/>
      <c r="F11" s="425"/>
      <c r="G11" s="425"/>
      <c r="H11" s="425"/>
      <c r="I11" s="425"/>
      <c r="J11" s="425"/>
      <c r="K11" s="356"/>
      <c r="M11" s="357"/>
      <c r="N11" s="356"/>
      <c r="P11" s="357"/>
      <c r="Q11" s="356"/>
      <c r="S11" s="357"/>
      <c r="T11" s="356"/>
      <c r="V11" s="357"/>
    </row>
    <row r="12" spans="1:22" s="932" customFormat="1" ht="35.25" customHeight="1">
      <c r="A12" s="926"/>
      <c r="B12" s="944" t="s">
        <v>784</v>
      </c>
      <c r="C12" s="970" t="s">
        <v>775</v>
      </c>
      <c r="D12" s="714"/>
      <c r="E12" s="985">
        <v>877.1</v>
      </c>
      <c r="F12" s="930">
        <v>882.5</v>
      </c>
      <c r="G12" s="930">
        <v>899</v>
      </c>
      <c r="H12" s="930">
        <v>882.4</v>
      </c>
      <c r="I12" s="930">
        <v>887.6</v>
      </c>
      <c r="J12" s="930">
        <f>SUM(E12:I12)/5</f>
        <v>885.72</v>
      </c>
      <c r="K12" s="986"/>
      <c r="M12" s="987"/>
      <c r="N12" s="986"/>
      <c r="P12" s="987"/>
      <c r="Q12" s="986"/>
      <c r="S12" s="987"/>
      <c r="T12" s="986"/>
      <c r="V12" s="987"/>
    </row>
    <row r="13" spans="1:22" s="932" customFormat="1" ht="35.25" customHeight="1">
      <c r="A13" s="926"/>
      <c r="B13" s="944" t="s">
        <v>785</v>
      </c>
      <c r="C13" s="970" t="s">
        <v>966</v>
      </c>
      <c r="D13" s="714"/>
      <c r="E13" s="988">
        <v>76.5</v>
      </c>
      <c r="F13" s="989">
        <v>80.7</v>
      </c>
      <c r="G13" s="989">
        <v>81.6</v>
      </c>
      <c r="H13" s="989">
        <v>81.6</v>
      </c>
      <c r="I13" s="989">
        <v>81.6</v>
      </c>
      <c r="J13" s="989">
        <f>SUM(E13:I13)/5</f>
        <v>80.4</v>
      </c>
      <c r="K13" s="986"/>
      <c r="M13" s="987"/>
      <c r="N13" s="986"/>
      <c r="P13" s="987"/>
      <c r="Q13" s="986"/>
      <c r="S13" s="987"/>
      <c r="T13" s="986"/>
      <c r="V13" s="987"/>
    </row>
    <row r="14" spans="1:22" s="932" customFormat="1" ht="35.25" customHeight="1">
      <c r="A14" s="926"/>
      <c r="B14" s="944" t="s">
        <v>786</v>
      </c>
      <c r="C14" s="970" t="s">
        <v>787</v>
      </c>
      <c r="D14" s="1079">
        <f>'[5]BM5 '!$K$12</f>
        <v>63.480000000000004</v>
      </c>
      <c r="E14" s="990">
        <v>18.7</v>
      </c>
      <c r="F14" s="971">
        <v>18.9</v>
      </c>
      <c r="G14" s="971">
        <v>19.3</v>
      </c>
      <c r="H14" s="971">
        <v>19.5</v>
      </c>
      <c r="I14" s="971">
        <v>19.7</v>
      </c>
      <c r="J14" s="971">
        <f>SUM(E14:I14)/5</f>
        <v>19.22</v>
      </c>
      <c r="K14" s="986"/>
      <c r="M14" s="987"/>
      <c r="N14" s="986"/>
      <c r="P14" s="987"/>
      <c r="Q14" s="986"/>
      <c r="S14" s="987"/>
      <c r="T14" s="986"/>
      <c r="V14" s="987"/>
    </row>
    <row r="15" spans="1:22" s="932" customFormat="1" ht="35.25" customHeight="1">
      <c r="A15" s="926"/>
      <c r="B15" s="944" t="s">
        <v>788</v>
      </c>
      <c r="C15" s="970" t="s">
        <v>789</v>
      </c>
      <c r="D15" s="1079">
        <f>'[5]BM5 '!$K$13</f>
        <v>76.45</v>
      </c>
      <c r="E15" s="990">
        <v>24.1</v>
      </c>
      <c r="F15" s="971">
        <v>24.9</v>
      </c>
      <c r="G15" s="971">
        <v>25.7</v>
      </c>
      <c r="H15" s="971">
        <v>25.8</v>
      </c>
      <c r="I15" s="971">
        <f>H15</f>
        <v>25.8</v>
      </c>
      <c r="J15" s="971">
        <f>I15</f>
        <v>25.8</v>
      </c>
      <c r="K15" s="986"/>
      <c r="M15" s="987"/>
      <c r="N15" s="986"/>
      <c r="P15" s="987"/>
      <c r="Q15" s="986"/>
      <c r="S15" s="987"/>
      <c r="T15" s="986"/>
      <c r="V15" s="987"/>
    </row>
    <row r="16" spans="1:12" s="736" customFormat="1" ht="40.5" customHeight="1" hidden="1">
      <c r="A16" s="732"/>
      <c r="B16" s="733" t="s">
        <v>236</v>
      </c>
      <c r="C16" s="734" t="s">
        <v>213</v>
      </c>
      <c r="D16" s="730"/>
      <c r="E16" s="735"/>
      <c r="F16" s="735"/>
      <c r="G16" s="735"/>
      <c r="H16" s="735"/>
      <c r="I16" s="735"/>
      <c r="J16" s="735"/>
      <c r="L16" s="737">
        <f>((100+11)*+(100+11.5)*(100+12)*(100+12.5)*(100+13))^0.2-100</f>
        <v>11.997767803756886</v>
      </c>
    </row>
    <row r="17" spans="1:12" s="736" customFormat="1" ht="33.75" customHeight="1" hidden="1">
      <c r="A17" s="732"/>
      <c r="B17" s="733" t="s">
        <v>237</v>
      </c>
      <c r="C17" s="734" t="s">
        <v>213</v>
      </c>
      <c r="D17" s="730"/>
      <c r="E17" s="735"/>
      <c r="F17" s="735"/>
      <c r="G17" s="735"/>
      <c r="H17" s="735"/>
      <c r="I17" s="735"/>
      <c r="J17" s="735"/>
      <c r="L17" s="737">
        <f>((100+17)*+(100+18.5)*(100+20)*(100+21.5)*(100+23))^0.2-100</f>
        <v>19.981246483092733</v>
      </c>
    </row>
    <row r="18" spans="1:12" s="736" customFormat="1" ht="33.75" customHeight="1" hidden="1">
      <c r="A18" s="732"/>
      <c r="B18" s="733" t="s">
        <v>238</v>
      </c>
      <c r="C18" s="734" t="s">
        <v>213</v>
      </c>
      <c r="D18" s="730"/>
      <c r="E18" s="735"/>
      <c r="F18" s="735"/>
      <c r="G18" s="735"/>
      <c r="H18" s="735"/>
      <c r="I18" s="735"/>
      <c r="J18" s="735"/>
      <c r="L18" s="737">
        <f>((100+10.5)*+(100+11)*(100+11.5)*(100+12)*(100+12.5))^0.2-100</f>
        <v>11.497757793426203</v>
      </c>
    </row>
    <row r="19" spans="1:12" s="736" customFormat="1" ht="33.75" customHeight="1" hidden="1">
      <c r="A19" s="732"/>
      <c r="B19" s="733" t="s">
        <v>239</v>
      </c>
      <c r="C19" s="734" t="s">
        <v>213</v>
      </c>
      <c r="D19" s="730"/>
      <c r="E19" s="735"/>
      <c r="F19" s="735"/>
      <c r="G19" s="735"/>
      <c r="H19" s="735"/>
      <c r="I19" s="735"/>
      <c r="J19" s="735"/>
      <c r="L19" s="737">
        <f>((100+10.9)*+(100+11.6)*(100+12.7)*(100+13.4)*(100+14))^0.2-100</f>
        <v>12.514245580202385</v>
      </c>
    </row>
    <row r="20" spans="1:10" s="329" customFormat="1" ht="36" customHeight="1">
      <c r="A20" s="386" t="s">
        <v>9</v>
      </c>
      <c r="B20" s="384" t="s">
        <v>233</v>
      </c>
      <c r="C20" s="383"/>
      <c r="D20" s="529"/>
      <c r="E20" s="425"/>
      <c r="F20" s="425"/>
      <c r="G20" s="425"/>
      <c r="H20" s="425"/>
      <c r="I20" s="425"/>
      <c r="J20" s="425"/>
    </row>
    <row r="21" spans="1:10" ht="38.25" customHeight="1">
      <c r="A21" s="530"/>
      <c r="B21" s="435" t="s">
        <v>234</v>
      </c>
      <c r="C21" s="394" t="s">
        <v>214</v>
      </c>
      <c r="D21" s="414">
        <f>'[5]BM5 '!J17</f>
        <v>93</v>
      </c>
      <c r="E21" s="415">
        <v>94</v>
      </c>
      <c r="F21" s="415">
        <v>95</v>
      </c>
      <c r="G21" s="415">
        <v>96</v>
      </c>
      <c r="H21" s="930">
        <v>97</v>
      </c>
      <c r="I21" s="930">
        <v>98</v>
      </c>
      <c r="J21" s="523">
        <f>SUM(E21:I21)/5</f>
        <v>96</v>
      </c>
    </row>
    <row r="22" spans="1:10" ht="42" customHeight="1">
      <c r="A22" s="389"/>
      <c r="B22" s="435" t="s">
        <v>212</v>
      </c>
      <c r="C22" s="394" t="s">
        <v>214</v>
      </c>
      <c r="D22" s="731">
        <f>'[5]BM5 '!J18</f>
        <v>18.25</v>
      </c>
      <c r="E22" s="523">
        <v>14.34</v>
      </c>
      <c r="F22" s="523">
        <v>15.35</v>
      </c>
      <c r="G22" s="523">
        <f>F22</f>
        <v>15.35</v>
      </c>
      <c r="H22" s="523">
        <v>20.7</v>
      </c>
      <c r="I22" s="523">
        <v>25.4</v>
      </c>
      <c r="J22" s="523">
        <f>SUM(E22:I22)/5</f>
        <v>18.227999999999998</v>
      </c>
    </row>
    <row r="23" spans="1:10" s="329" customFormat="1" ht="33.75" customHeight="1">
      <c r="A23" s="386" t="s">
        <v>13</v>
      </c>
      <c r="B23" s="384" t="s">
        <v>235</v>
      </c>
      <c r="C23" s="383"/>
      <c r="D23" s="529"/>
      <c r="E23" s="425"/>
      <c r="F23" s="425"/>
      <c r="G23" s="425"/>
      <c r="H23" s="425"/>
      <c r="I23" s="425"/>
      <c r="J23" s="523"/>
    </row>
    <row r="24" spans="1:10" s="932" customFormat="1" ht="39" customHeight="1">
      <c r="A24" s="926"/>
      <c r="B24" s="927" t="s">
        <v>352</v>
      </c>
      <c r="C24" s="928" t="s">
        <v>795</v>
      </c>
      <c r="D24" s="929">
        <f>'[5]BM5 '!J20</f>
        <v>15</v>
      </c>
      <c r="E24" s="930">
        <v>21</v>
      </c>
      <c r="F24" s="930">
        <v>25</v>
      </c>
      <c r="G24" s="930">
        <v>80</v>
      </c>
      <c r="H24" s="930">
        <v>90</v>
      </c>
      <c r="I24" s="930">
        <v>100</v>
      </c>
      <c r="J24" s="931">
        <f>SUM(E24:I24)/5</f>
        <v>63.2</v>
      </c>
    </row>
    <row r="25" spans="1:10" s="932" customFormat="1" ht="39.75" customHeight="1">
      <c r="A25" s="926"/>
      <c r="B25" s="927" t="s">
        <v>382</v>
      </c>
      <c r="C25" s="928" t="s">
        <v>795</v>
      </c>
      <c r="D25" s="929">
        <f>'[5]BM5 '!J21</f>
        <v>55</v>
      </c>
      <c r="E25" s="930">
        <v>63</v>
      </c>
      <c r="F25" s="930">
        <v>75</v>
      </c>
      <c r="G25" s="930">
        <v>130</v>
      </c>
      <c r="H25" s="930">
        <v>140</v>
      </c>
      <c r="I25" s="930">
        <v>150</v>
      </c>
      <c r="J25" s="931">
        <f>SUM(E25:I25)/5</f>
        <v>111.6</v>
      </c>
    </row>
    <row r="26" spans="1:13" s="932" customFormat="1" ht="31.5" customHeight="1">
      <c r="A26" s="926"/>
      <c r="B26" s="927" t="s">
        <v>673</v>
      </c>
      <c r="C26" s="928" t="s">
        <v>293</v>
      </c>
      <c r="D26" s="983">
        <f>'[5]BM5 '!$J$22</f>
        <v>3.8</v>
      </c>
      <c r="E26" s="984">
        <v>5.6</v>
      </c>
      <c r="F26" s="984">
        <v>8</v>
      </c>
      <c r="G26" s="984">
        <v>10.3</v>
      </c>
      <c r="H26" s="984">
        <v>13</v>
      </c>
      <c r="I26" s="984">
        <v>16.8</v>
      </c>
      <c r="J26" s="931">
        <f>SUM(E26:I26)/5</f>
        <v>10.74</v>
      </c>
      <c r="L26" s="1147"/>
      <c r="M26" s="1147"/>
    </row>
    <row r="27" spans="1:13" s="329" customFormat="1" ht="33.75" customHeight="1">
      <c r="A27" s="386">
        <v>5</v>
      </c>
      <c r="B27" s="435" t="s">
        <v>674</v>
      </c>
      <c r="C27" s="394" t="s">
        <v>293</v>
      </c>
      <c r="D27" s="388">
        <f>'[5]BM5 '!J23</f>
        <v>35</v>
      </c>
      <c r="E27" s="415">
        <f>E40</f>
        <v>39.3</v>
      </c>
      <c r="F27" s="415">
        <f>F40</f>
        <v>44.1</v>
      </c>
      <c r="G27" s="415">
        <f>G40</f>
        <v>49</v>
      </c>
      <c r="H27" s="415">
        <f>H40</f>
        <v>54.1</v>
      </c>
      <c r="I27" s="415">
        <f>I40</f>
        <v>59.5</v>
      </c>
      <c r="J27" s="415">
        <f>SUM(E27:I27)/5</f>
        <v>49.2</v>
      </c>
      <c r="M27" s="1148"/>
    </row>
    <row r="28" spans="1:10" ht="28.5" customHeight="1" hidden="1">
      <c r="A28" s="382"/>
      <c r="B28" s="1770"/>
      <c r="C28" s="1770"/>
      <c r="D28" s="1770"/>
      <c r="E28" s="532">
        <f>E26*10%</f>
        <v>0.5599999999999999</v>
      </c>
      <c r="F28" s="532">
        <f>F26*10%</f>
        <v>0.8</v>
      </c>
      <c r="G28" s="532">
        <f>G26*10%</f>
        <v>1.03</v>
      </c>
      <c r="H28" s="532">
        <f>H26*10%</f>
        <v>1.3</v>
      </c>
      <c r="I28" s="532">
        <f>I26*10%</f>
        <v>1.6800000000000002</v>
      </c>
      <c r="J28" s="415">
        <f aca="true" t="shared" si="0" ref="J28:J40">SUM(E28:I28)/5</f>
        <v>1.0739999999999998</v>
      </c>
    </row>
    <row r="29" spans="1:10" ht="28.5" customHeight="1" hidden="1">
      <c r="A29" s="382"/>
      <c r="B29" s="395"/>
      <c r="C29" s="396"/>
      <c r="D29" s="976"/>
      <c r="E29" s="528">
        <f>E25+E24</f>
        <v>84</v>
      </c>
      <c r="F29" s="528">
        <f>F25+F24</f>
        <v>100</v>
      </c>
      <c r="G29" s="528">
        <f>G25+G24</f>
        <v>210</v>
      </c>
      <c r="H29" s="528">
        <f>H25+H24</f>
        <v>230</v>
      </c>
      <c r="I29" s="528">
        <f>I25+I24</f>
        <v>250</v>
      </c>
      <c r="J29" s="415">
        <f t="shared" si="0"/>
        <v>174.8</v>
      </c>
    </row>
    <row r="30" spans="1:10" ht="28.5" customHeight="1" hidden="1">
      <c r="A30" s="382"/>
      <c r="B30" s="977" t="s">
        <v>927</v>
      </c>
      <c r="C30" s="396" t="s">
        <v>928</v>
      </c>
      <c r="D30" s="978"/>
      <c r="E30" s="979">
        <f>(E24+E25)*30</f>
        <v>2520</v>
      </c>
      <c r="F30" s="979">
        <f>(F24+F25)*30</f>
        <v>3000</v>
      </c>
      <c r="G30" s="979">
        <f>(G24+G25)*30</f>
        <v>6300</v>
      </c>
      <c r="H30" s="979">
        <f>(H24+H25)*30</f>
        <v>6900</v>
      </c>
      <c r="I30" s="979">
        <f>(I24+I25)*30</f>
        <v>7500</v>
      </c>
      <c r="J30" s="415">
        <f t="shared" si="0"/>
        <v>5244</v>
      </c>
    </row>
    <row r="31" spans="1:10" ht="28.5" customHeight="1" hidden="1">
      <c r="A31" s="382"/>
      <c r="B31" s="977" t="s">
        <v>929</v>
      </c>
      <c r="C31" s="396" t="s">
        <v>930</v>
      </c>
      <c r="D31" s="978"/>
      <c r="E31" s="979">
        <f>(100*365*5000)/1000000000</f>
        <v>0.1825</v>
      </c>
      <c r="F31" s="979">
        <f>(100*365*5000)/1000000000</f>
        <v>0.1825</v>
      </c>
      <c r="G31" s="979">
        <f>(100*365*5000)/1000000000</f>
        <v>0.1825</v>
      </c>
      <c r="H31" s="979">
        <f>(100*365*5000)/1000000000</f>
        <v>0.1825</v>
      </c>
      <c r="I31" s="979">
        <f>(100*365*5000)/1000000000</f>
        <v>0.1825</v>
      </c>
      <c r="J31" s="415">
        <f t="shared" si="0"/>
        <v>0.1825</v>
      </c>
    </row>
    <row r="32" spans="1:10" ht="28.5" customHeight="1" hidden="1">
      <c r="A32" s="382"/>
      <c r="B32" s="980" t="s">
        <v>931</v>
      </c>
      <c r="C32" s="396"/>
      <c r="D32" s="978"/>
      <c r="E32" s="397">
        <f>(4*365*15000)/1000000000</f>
        <v>0.0219</v>
      </c>
      <c r="F32" s="397">
        <f>(4*365*15000)/1000000000</f>
        <v>0.0219</v>
      </c>
      <c r="G32" s="397">
        <f>(4*365*15000)/1000000000</f>
        <v>0.0219</v>
      </c>
      <c r="H32" s="397">
        <f>(4*365*15000)/1000000000</f>
        <v>0.0219</v>
      </c>
      <c r="I32" s="397">
        <f>(4*365*15000)/1000000000</f>
        <v>0.0219</v>
      </c>
      <c r="J32" s="415">
        <f t="shared" si="0"/>
        <v>0.0219</v>
      </c>
    </row>
    <row r="33" spans="1:10" ht="28.5" customHeight="1" hidden="1">
      <c r="A33" s="382"/>
      <c r="B33" s="980" t="s">
        <v>932</v>
      </c>
      <c r="C33" s="396"/>
      <c r="D33" s="382"/>
      <c r="E33" s="397">
        <f>(4*365*20000)/1000000000</f>
        <v>0.0292</v>
      </c>
      <c r="F33" s="397">
        <f>(4*365*20000)/1000000000</f>
        <v>0.0292</v>
      </c>
      <c r="G33" s="397">
        <f>(4*365*20000)/1000000000</f>
        <v>0.0292</v>
      </c>
      <c r="H33" s="397">
        <f>(4*365*20000)/1000000000</f>
        <v>0.0292</v>
      </c>
      <c r="I33" s="397">
        <f>(4*365*20000)/1000000000</f>
        <v>0.0292</v>
      </c>
      <c r="J33" s="415">
        <f t="shared" si="0"/>
        <v>0.029199999999999997</v>
      </c>
    </row>
    <row r="34" spans="1:10" ht="28.5" customHeight="1" hidden="1">
      <c r="A34" s="382"/>
      <c r="B34" s="980" t="s">
        <v>933</v>
      </c>
      <c r="C34" s="396"/>
      <c r="D34" s="382"/>
      <c r="E34" s="981">
        <f>(1867*365)/1000000</f>
        <v>0.681455</v>
      </c>
      <c r="F34" s="981">
        <f>(1867*365)/1000000</f>
        <v>0.681455</v>
      </c>
      <c r="G34" s="981">
        <f>(1867*365)/1000000</f>
        <v>0.681455</v>
      </c>
      <c r="H34" s="981">
        <f>(1867*365)/1000000</f>
        <v>0.681455</v>
      </c>
      <c r="I34" s="981">
        <f>(1867*365)/1000000</f>
        <v>0.681455</v>
      </c>
      <c r="J34" s="415">
        <f t="shared" si="0"/>
        <v>0.681455</v>
      </c>
    </row>
    <row r="35" spans="1:10" ht="28.5" customHeight="1" hidden="1">
      <c r="A35" s="382"/>
      <c r="B35" s="395"/>
      <c r="C35" s="396"/>
      <c r="D35" s="382"/>
      <c r="E35" s="982">
        <f>E30/1000</f>
        <v>2.52</v>
      </c>
      <c r="F35" s="982">
        <f>F30/1000</f>
        <v>3</v>
      </c>
      <c r="G35" s="982">
        <f>G30/1000</f>
        <v>6.3</v>
      </c>
      <c r="H35" s="982">
        <f>H30/1000</f>
        <v>6.9</v>
      </c>
      <c r="I35" s="982">
        <f>I30/1000</f>
        <v>7.5</v>
      </c>
      <c r="J35" s="415">
        <f t="shared" si="0"/>
        <v>5.244</v>
      </c>
    </row>
    <row r="36" spans="1:10" ht="28.5" customHeight="1" hidden="1">
      <c r="A36" s="382"/>
      <c r="B36" s="395" t="s">
        <v>934</v>
      </c>
      <c r="C36" s="396"/>
      <c r="D36" s="382"/>
      <c r="E36" s="982">
        <f>E31+E33+E35+E34+E32</f>
        <v>3.435055</v>
      </c>
      <c r="F36" s="982">
        <f>F31+F33+F35+F34+F32</f>
        <v>3.915055</v>
      </c>
      <c r="G36" s="982">
        <f>G31+G33+G35+G34+G32</f>
        <v>7.215054999999999</v>
      </c>
      <c r="H36" s="982">
        <f>H31+H33+H35+H34+H32</f>
        <v>7.815055</v>
      </c>
      <c r="I36" s="982">
        <f>I31+I33+I35+I34+I32</f>
        <v>8.415055</v>
      </c>
      <c r="J36" s="415">
        <f t="shared" si="0"/>
        <v>6.159055</v>
      </c>
    </row>
    <row r="37" spans="1:10" ht="16.5" hidden="1">
      <c r="A37" s="382"/>
      <c r="B37" s="395"/>
      <c r="C37" s="396"/>
      <c r="D37" s="382"/>
      <c r="E37" s="982">
        <f>E36*10%</f>
        <v>0.3435055</v>
      </c>
      <c r="F37" s="982">
        <f>F36*10%</f>
        <v>0.39150550000000006</v>
      </c>
      <c r="G37" s="982">
        <f>G36*10%</f>
        <v>0.7215054999999999</v>
      </c>
      <c r="H37" s="982">
        <f>H36*10%</f>
        <v>0.7815055000000001</v>
      </c>
      <c r="I37" s="982">
        <f>I36*10%</f>
        <v>0.8415055000000001</v>
      </c>
      <c r="J37" s="415">
        <f t="shared" si="0"/>
        <v>0.6159055</v>
      </c>
    </row>
    <row r="38" spans="1:10" ht="16.5" hidden="1">
      <c r="A38" s="382"/>
      <c r="B38" s="395"/>
      <c r="C38" s="396"/>
      <c r="D38" s="382"/>
      <c r="E38" s="982">
        <f>E37+E36</f>
        <v>3.7785605</v>
      </c>
      <c r="F38" s="982">
        <f>F37+F36</f>
        <v>4.3065605</v>
      </c>
      <c r="G38" s="982">
        <f>G37+G36</f>
        <v>7.936560499999999</v>
      </c>
      <c r="H38" s="982">
        <f>H37+H36</f>
        <v>8.5965605</v>
      </c>
      <c r="I38" s="982">
        <f>I37+I36</f>
        <v>9.2565605</v>
      </c>
      <c r="J38" s="415">
        <f t="shared" si="0"/>
        <v>6.774960500000001</v>
      </c>
    </row>
    <row r="39" spans="1:10" s="329" customFormat="1" ht="26.25" customHeight="1">
      <c r="A39" s="386"/>
      <c r="B39" s="435" t="s">
        <v>968</v>
      </c>
      <c r="C39" s="394" t="s">
        <v>293</v>
      </c>
      <c r="D39" s="394">
        <f>'[5]BM5 '!$J$24</f>
        <v>650</v>
      </c>
      <c r="E39" s="689">
        <v>714.9</v>
      </c>
      <c r="F39" s="1110">
        <v>765</v>
      </c>
      <c r="G39" s="1110">
        <v>818</v>
      </c>
      <c r="H39" s="1110">
        <v>875</v>
      </c>
      <c r="I39" s="1110">
        <v>936</v>
      </c>
      <c r="J39" s="415">
        <f>SUM(E39:I39)/5</f>
        <v>821.78</v>
      </c>
    </row>
    <row r="40" spans="1:10" s="329" customFormat="1" ht="26.25" customHeight="1">
      <c r="A40" s="386"/>
      <c r="B40" s="435" t="s">
        <v>969</v>
      </c>
      <c r="C40" s="394" t="s">
        <v>293</v>
      </c>
      <c r="D40" s="394">
        <f>'[5]BM5 '!$J$25</f>
        <v>35</v>
      </c>
      <c r="E40" s="689">
        <v>39.3</v>
      </c>
      <c r="F40" s="689">
        <v>44.1</v>
      </c>
      <c r="G40" s="689">
        <v>49</v>
      </c>
      <c r="H40" s="689">
        <v>54.1</v>
      </c>
      <c r="I40" s="689">
        <v>59.5</v>
      </c>
      <c r="J40" s="415">
        <f t="shared" si="0"/>
        <v>49.2</v>
      </c>
    </row>
    <row r="41" spans="1:22" ht="16.5">
      <c r="A41" s="382"/>
      <c r="B41" s="411"/>
      <c r="C41" s="396"/>
      <c r="D41" s="382"/>
      <c r="E41" s="1136"/>
      <c r="F41" s="1136"/>
      <c r="G41" s="1136"/>
      <c r="H41" s="1136"/>
      <c r="I41" s="1136"/>
      <c r="J41" s="397"/>
      <c r="K41" s="354"/>
      <c r="M41" s="352"/>
      <c r="N41" s="354"/>
      <c r="P41" s="352"/>
      <c r="Q41" s="354"/>
      <c r="S41" s="352"/>
      <c r="T41" s="354"/>
      <c r="V41" s="352"/>
    </row>
    <row r="42" spans="1:10" ht="16.5">
      <c r="A42" s="382"/>
      <c r="B42" s="395"/>
      <c r="C42" s="396"/>
      <c r="D42" s="382"/>
      <c r="E42" s="1137"/>
      <c r="F42" s="1149"/>
      <c r="G42" s="1149"/>
      <c r="H42" s="1149"/>
      <c r="I42" s="1149"/>
      <c r="J42" s="397"/>
    </row>
    <row r="43" spans="1:10" ht="16.5">
      <c r="A43" s="382"/>
      <c r="B43" s="395"/>
      <c r="C43" s="396"/>
      <c r="D43" s="382"/>
      <c r="E43" s="1137"/>
      <c r="F43" s="382"/>
      <c r="G43" s="382"/>
      <c r="H43" s="382"/>
      <c r="I43" s="382"/>
      <c r="J43" s="397"/>
    </row>
    <row r="44" spans="1:10" ht="16.5">
      <c r="A44" s="382"/>
      <c r="B44" s="395"/>
      <c r="C44" s="396"/>
      <c r="D44" s="382"/>
      <c r="E44" s="1138"/>
      <c r="F44" s="397"/>
      <c r="G44" s="397"/>
      <c r="H44" s="397"/>
      <c r="I44" s="397"/>
      <c r="J44" s="397"/>
    </row>
    <row r="45" spans="1:10" ht="16.5">
      <c r="A45" s="382"/>
      <c r="B45" s="395"/>
      <c r="C45" s="396"/>
      <c r="D45" s="382"/>
      <c r="E45" s="397"/>
      <c r="F45" s="397"/>
      <c r="G45" s="397"/>
      <c r="H45" s="397"/>
      <c r="I45" s="397"/>
      <c r="J45" s="397"/>
    </row>
    <row r="46" spans="1:10" ht="16.5">
      <c r="A46" s="382"/>
      <c r="B46" s="395"/>
      <c r="C46" s="396"/>
      <c r="D46" s="382"/>
      <c r="E46" s="397"/>
      <c r="F46" s="397"/>
      <c r="G46" s="397"/>
      <c r="H46" s="397"/>
      <c r="I46" s="397"/>
      <c r="J46" s="397"/>
    </row>
    <row r="47" spans="1:10" ht="16.5">
      <c r="A47" s="382"/>
      <c r="B47" s="395"/>
      <c r="C47" s="396"/>
      <c r="D47" s="382"/>
      <c r="E47" s="397"/>
      <c r="F47" s="397"/>
      <c r="G47" s="397"/>
      <c r="H47" s="397"/>
      <c r="I47" s="397"/>
      <c r="J47" s="397"/>
    </row>
    <row r="48" spans="1:10" ht="16.5">
      <c r="A48" s="382"/>
      <c r="B48" s="395"/>
      <c r="C48" s="396"/>
      <c r="D48" s="382"/>
      <c r="E48" s="397"/>
      <c r="F48" s="397"/>
      <c r="G48" s="397"/>
      <c r="H48" s="397"/>
      <c r="I48" s="397"/>
      <c r="J48" s="397"/>
    </row>
    <row r="49" spans="1:10" ht="16.5">
      <c r="A49" s="382"/>
      <c r="B49" s="395"/>
      <c r="C49" s="396"/>
      <c r="D49" s="382"/>
      <c r="E49" s="397"/>
      <c r="F49" s="397"/>
      <c r="G49" s="397"/>
      <c r="H49" s="397"/>
      <c r="I49" s="397"/>
      <c r="J49" s="397"/>
    </row>
    <row r="50" spans="1:10" ht="16.5">
      <c r="A50" s="382"/>
      <c r="B50" s="395"/>
      <c r="C50" s="396"/>
      <c r="D50" s="382"/>
      <c r="E50" s="397"/>
      <c r="F50" s="397"/>
      <c r="G50" s="397"/>
      <c r="H50" s="397"/>
      <c r="I50" s="397"/>
      <c r="J50" s="397"/>
    </row>
    <row r="51" spans="1:10" ht="16.5">
      <c r="A51" s="382"/>
      <c r="B51" s="395"/>
      <c r="C51" s="396"/>
      <c r="D51" s="382"/>
      <c r="E51" s="397"/>
      <c r="F51" s="397"/>
      <c r="G51" s="397"/>
      <c r="H51" s="397"/>
      <c r="I51" s="397"/>
      <c r="J51" s="397"/>
    </row>
    <row r="52" spans="1:10" ht="16.5">
      <c r="A52" s="382"/>
      <c r="B52" s="395"/>
      <c r="C52" s="396"/>
      <c r="D52" s="382"/>
      <c r="E52" s="397"/>
      <c r="F52" s="397"/>
      <c r="G52" s="397"/>
      <c r="H52" s="397"/>
      <c r="I52" s="397"/>
      <c r="J52" s="397"/>
    </row>
    <row r="53" spans="1:10" ht="16.5">
      <c r="A53" s="382"/>
      <c r="B53" s="395"/>
      <c r="C53" s="396"/>
      <c r="D53" s="382"/>
      <c r="E53" s="397"/>
      <c r="F53" s="397"/>
      <c r="G53" s="397"/>
      <c r="H53" s="397"/>
      <c r="I53" s="397"/>
      <c r="J53" s="397"/>
    </row>
    <row r="54" spans="1:10" ht="16.5">
      <c r="A54" s="382"/>
      <c r="B54" s="395"/>
      <c r="C54" s="396"/>
      <c r="D54" s="382"/>
      <c r="E54" s="397"/>
      <c r="F54" s="397"/>
      <c r="G54" s="397"/>
      <c r="H54" s="397"/>
      <c r="I54" s="397"/>
      <c r="J54" s="397"/>
    </row>
    <row r="55" spans="1:10" ht="16.5">
      <c r="A55" s="382"/>
      <c r="B55" s="395"/>
      <c r="C55" s="396"/>
      <c r="D55" s="382"/>
      <c r="E55" s="397"/>
      <c r="F55" s="397"/>
      <c r="G55" s="397"/>
      <c r="H55" s="397"/>
      <c r="I55" s="397"/>
      <c r="J55" s="397"/>
    </row>
    <row r="56" spans="1:10" ht="16.5">
      <c r="A56" s="382"/>
      <c r="B56" s="395"/>
      <c r="C56" s="396"/>
      <c r="D56" s="382"/>
      <c r="E56" s="397"/>
      <c r="F56" s="397"/>
      <c r="G56" s="397"/>
      <c r="H56" s="397"/>
      <c r="I56" s="397"/>
      <c r="J56" s="397"/>
    </row>
    <row r="57" spans="1:10" ht="16.5">
      <c r="A57" s="382"/>
      <c r="B57" s="395"/>
      <c r="C57" s="396"/>
      <c r="D57" s="382"/>
      <c r="E57" s="397"/>
      <c r="F57" s="397"/>
      <c r="G57" s="397"/>
      <c r="H57" s="397"/>
      <c r="I57" s="397"/>
      <c r="J57" s="397"/>
    </row>
    <row r="58" spans="1:10" ht="16.5">
      <c r="A58" s="382"/>
      <c r="B58" s="395"/>
      <c r="C58" s="396"/>
      <c r="D58" s="382"/>
      <c r="E58" s="397"/>
      <c r="F58" s="397"/>
      <c r="G58" s="397"/>
      <c r="H58" s="397"/>
      <c r="I58" s="397"/>
      <c r="J58" s="397"/>
    </row>
    <row r="59" spans="1:10" ht="16.5">
      <c r="A59" s="382"/>
      <c r="B59" s="395"/>
      <c r="C59" s="396"/>
      <c r="D59" s="382"/>
      <c r="E59" s="397"/>
      <c r="F59" s="397"/>
      <c r="G59" s="397"/>
      <c r="H59" s="397"/>
      <c r="I59" s="397"/>
      <c r="J59" s="397"/>
    </row>
    <row r="60" spans="1:10" ht="16.5">
      <c r="A60" s="382"/>
      <c r="B60" s="395"/>
      <c r="C60" s="396"/>
      <c r="D60" s="382"/>
      <c r="E60" s="397"/>
      <c r="F60" s="397"/>
      <c r="G60" s="397"/>
      <c r="H60" s="397"/>
      <c r="I60" s="397"/>
      <c r="J60" s="397"/>
    </row>
    <row r="61" spans="1:10" ht="16.5">
      <c r="A61" s="382"/>
      <c r="B61" s="395"/>
      <c r="C61" s="396"/>
      <c r="D61" s="382"/>
      <c r="E61" s="397"/>
      <c r="F61" s="397"/>
      <c r="G61" s="397"/>
      <c r="H61" s="397"/>
      <c r="I61" s="397"/>
      <c r="J61" s="397"/>
    </row>
    <row r="62" spans="1:10" ht="16.5">
      <c r="A62" s="382"/>
      <c r="B62" s="395"/>
      <c r="C62" s="396"/>
      <c r="D62" s="382"/>
      <c r="E62" s="397"/>
      <c r="F62" s="397"/>
      <c r="G62" s="397"/>
      <c r="H62" s="397"/>
      <c r="I62" s="397"/>
      <c r="J62" s="397"/>
    </row>
    <row r="63" spans="1:10" ht="16.5">
      <c r="A63" s="382"/>
      <c r="B63" s="395"/>
      <c r="C63" s="396"/>
      <c r="D63" s="382"/>
      <c r="E63" s="397"/>
      <c r="F63" s="397"/>
      <c r="G63" s="397"/>
      <c r="H63" s="397"/>
      <c r="I63" s="397"/>
      <c r="J63" s="397"/>
    </row>
    <row r="64" spans="1:10" ht="16.5">
      <c r="A64" s="382"/>
      <c r="B64" s="395"/>
      <c r="C64" s="396"/>
      <c r="D64" s="382"/>
      <c r="E64" s="397"/>
      <c r="F64" s="397"/>
      <c r="G64" s="397"/>
      <c r="H64" s="397"/>
      <c r="I64" s="397"/>
      <c r="J64" s="397"/>
    </row>
    <row r="65" spans="1:10" ht="16.5">
      <c r="A65" s="382"/>
      <c r="B65" s="395"/>
      <c r="C65" s="396"/>
      <c r="D65" s="382"/>
      <c r="E65" s="397"/>
      <c r="F65" s="397"/>
      <c r="G65" s="397"/>
      <c r="H65" s="397"/>
      <c r="I65" s="397"/>
      <c r="J65" s="397"/>
    </row>
    <row r="66" spans="1:10" ht="16.5">
      <c r="A66" s="382"/>
      <c r="B66" s="395"/>
      <c r="C66" s="396"/>
      <c r="D66" s="382"/>
      <c r="E66" s="397"/>
      <c r="F66" s="397"/>
      <c r="G66" s="397"/>
      <c r="H66" s="397"/>
      <c r="I66" s="397"/>
      <c r="J66" s="397"/>
    </row>
    <row r="67" spans="1:10" ht="16.5">
      <c r="A67" s="382"/>
      <c r="B67" s="395"/>
      <c r="C67" s="396"/>
      <c r="D67" s="382"/>
      <c r="E67" s="397"/>
      <c r="F67" s="397"/>
      <c r="G67" s="397"/>
      <c r="H67" s="397"/>
      <c r="I67" s="397"/>
      <c r="J67" s="397"/>
    </row>
    <row r="68" spans="1:10" ht="16.5">
      <c r="A68" s="382"/>
      <c r="B68" s="395"/>
      <c r="C68" s="396"/>
      <c r="D68" s="382"/>
      <c r="E68" s="397"/>
      <c r="F68" s="397"/>
      <c r="G68" s="397"/>
      <c r="H68" s="397"/>
      <c r="I68" s="397"/>
      <c r="J68" s="397"/>
    </row>
    <row r="69" spans="1:10" ht="16.5">
      <c r="A69" s="382"/>
      <c r="B69" s="395"/>
      <c r="C69" s="396"/>
      <c r="D69" s="382"/>
      <c r="E69" s="397"/>
      <c r="F69" s="397"/>
      <c r="G69" s="397"/>
      <c r="H69" s="397"/>
      <c r="I69" s="397"/>
      <c r="J69" s="397"/>
    </row>
    <row r="70" spans="1:10" ht="16.5">
      <c r="A70" s="382"/>
      <c r="B70" s="395"/>
      <c r="C70" s="396"/>
      <c r="D70" s="382"/>
      <c r="E70" s="397"/>
      <c r="F70" s="397"/>
      <c r="G70" s="397"/>
      <c r="H70" s="397"/>
      <c r="I70" s="397"/>
      <c r="J70" s="397"/>
    </row>
    <row r="71" spans="1:10" ht="16.5">
      <c r="A71" s="382"/>
      <c r="B71" s="395"/>
      <c r="C71" s="396"/>
      <c r="D71" s="382"/>
      <c r="E71" s="397"/>
      <c r="F71" s="397"/>
      <c r="G71" s="397"/>
      <c r="H71" s="397"/>
      <c r="I71" s="397"/>
      <c r="J71" s="397"/>
    </row>
    <row r="72" spans="1:10" ht="16.5">
      <c r="A72" s="382"/>
      <c r="B72" s="395"/>
      <c r="C72" s="396"/>
      <c r="D72" s="382"/>
      <c r="E72" s="397"/>
      <c r="F72" s="397"/>
      <c r="G72" s="397"/>
      <c r="H72" s="397"/>
      <c r="I72" s="397"/>
      <c r="J72" s="397"/>
    </row>
    <row r="73" spans="1:10" ht="16.5">
      <c r="A73" s="382"/>
      <c r="B73" s="395"/>
      <c r="C73" s="396"/>
      <c r="D73" s="382"/>
      <c r="E73" s="397"/>
      <c r="F73" s="397"/>
      <c r="G73" s="397"/>
      <c r="H73" s="397"/>
      <c r="I73" s="397"/>
      <c r="J73" s="397"/>
    </row>
    <row r="74" spans="1:10" ht="16.5">
      <c r="A74" s="382"/>
      <c r="B74" s="395"/>
      <c r="C74" s="396"/>
      <c r="D74" s="382"/>
      <c r="E74" s="397"/>
      <c r="F74" s="397"/>
      <c r="G74" s="397"/>
      <c r="H74" s="397"/>
      <c r="I74" s="397"/>
      <c r="J74" s="397"/>
    </row>
    <row r="75" spans="1:10" ht="16.5">
      <c r="A75" s="382"/>
      <c r="B75" s="395"/>
      <c r="C75" s="396"/>
      <c r="D75" s="382"/>
      <c r="E75" s="397"/>
      <c r="F75" s="397"/>
      <c r="G75" s="397"/>
      <c r="H75" s="397"/>
      <c r="I75" s="397"/>
      <c r="J75" s="397"/>
    </row>
    <row r="76" spans="1:10" ht="16.5">
      <c r="A76" s="382"/>
      <c r="B76" s="395"/>
      <c r="C76" s="396"/>
      <c r="D76" s="382"/>
      <c r="E76" s="397"/>
      <c r="F76" s="397"/>
      <c r="G76" s="397"/>
      <c r="H76" s="397"/>
      <c r="I76" s="397"/>
      <c r="J76" s="397"/>
    </row>
    <row r="77" spans="1:10" ht="16.5">
      <c r="A77" s="382"/>
      <c r="B77" s="395"/>
      <c r="C77" s="396"/>
      <c r="D77" s="382"/>
      <c r="E77" s="397"/>
      <c r="F77" s="397"/>
      <c r="G77" s="397"/>
      <c r="H77" s="397"/>
      <c r="I77" s="397"/>
      <c r="J77" s="397"/>
    </row>
    <row r="78" spans="1:10" ht="16.5">
      <c r="A78" s="382"/>
      <c r="B78" s="395"/>
      <c r="C78" s="396"/>
      <c r="D78" s="382"/>
      <c r="E78" s="397"/>
      <c r="F78" s="397"/>
      <c r="G78" s="397"/>
      <c r="H78" s="397"/>
      <c r="I78" s="397"/>
      <c r="J78" s="397"/>
    </row>
    <row r="79" spans="1:10" ht="16.5">
      <c r="A79" s="382"/>
      <c r="B79" s="395"/>
      <c r="C79" s="396"/>
      <c r="D79" s="382"/>
      <c r="E79" s="397"/>
      <c r="F79" s="397"/>
      <c r="G79" s="397"/>
      <c r="H79" s="397"/>
      <c r="I79" s="397"/>
      <c r="J79" s="397"/>
    </row>
    <row r="80" spans="1:10" ht="16.5">
      <c r="A80" s="382"/>
      <c r="B80" s="395"/>
      <c r="C80" s="396"/>
      <c r="D80" s="382"/>
      <c r="E80" s="397"/>
      <c r="F80" s="397"/>
      <c r="G80" s="397"/>
      <c r="H80" s="397"/>
      <c r="I80" s="397"/>
      <c r="J80" s="397"/>
    </row>
    <row r="81" spans="1:10" ht="16.5">
      <c r="A81" s="382"/>
      <c r="B81" s="395"/>
      <c r="C81" s="396"/>
      <c r="D81" s="382"/>
      <c r="E81" s="397"/>
      <c r="F81" s="397"/>
      <c r="G81" s="397"/>
      <c r="H81" s="397"/>
      <c r="I81" s="397"/>
      <c r="J81" s="397"/>
    </row>
    <row r="82" spans="1:10" ht="16.5">
      <c r="A82" s="382"/>
      <c r="B82" s="395"/>
      <c r="C82" s="396"/>
      <c r="D82" s="382"/>
      <c r="E82" s="397"/>
      <c r="F82" s="397"/>
      <c r="G82" s="397"/>
      <c r="H82" s="397"/>
      <c r="I82" s="397"/>
      <c r="J82" s="397"/>
    </row>
    <row r="83" spans="1:10" ht="16.5">
      <c r="A83" s="382"/>
      <c r="B83" s="395"/>
      <c r="C83" s="396"/>
      <c r="D83" s="382"/>
      <c r="E83" s="397"/>
      <c r="F83" s="397"/>
      <c r="G83" s="397"/>
      <c r="H83" s="397"/>
      <c r="I83" s="397"/>
      <c r="J83" s="397"/>
    </row>
    <row r="84" spans="1:10" ht="16.5">
      <c r="A84" s="382"/>
      <c r="B84" s="395"/>
      <c r="C84" s="396"/>
      <c r="D84" s="382"/>
      <c r="E84" s="397"/>
      <c r="F84" s="397"/>
      <c r="G84" s="397"/>
      <c r="H84" s="397"/>
      <c r="I84" s="397"/>
      <c r="J84" s="397"/>
    </row>
    <row r="85" spans="1:10" ht="16.5">
      <c r="A85" s="382"/>
      <c r="B85" s="395"/>
      <c r="C85" s="396"/>
      <c r="D85" s="382"/>
      <c r="E85" s="397"/>
      <c r="F85" s="397"/>
      <c r="G85" s="397"/>
      <c r="H85" s="397"/>
      <c r="I85" s="397"/>
      <c r="J85" s="397"/>
    </row>
    <row r="86" spans="1:10" ht="16.5">
      <c r="A86" s="382"/>
      <c r="B86" s="395"/>
      <c r="C86" s="396"/>
      <c r="D86" s="382"/>
      <c r="E86" s="397"/>
      <c r="F86" s="397"/>
      <c r="G86" s="397"/>
      <c r="H86" s="397"/>
      <c r="I86" s="397"/>
      <c r="J86" s="397"/>
    </row>
    <row r="87" spans="1:10" ht="16.5">
      <c r="A87" s="382"/>
      <c r="B87" s="395"/>
      <c r="C87" s="396"/>
      <c r="D87" s="382"/>
      <c r="E87" s="397"/>
      <c r="F87" s="397"/>
      <c r="G87" s="397"/>
      <c r="H87" s="397"/>
      <c r="I87" s="397"/>
      <c r="J87" s="397"/>
    </row>
    <row r="88" spans="1:10" ht="16.5">
      <c r="A88" s="382"/>
      <c r="B88" s="395"/>
      <c r="C88" s="396"/>
      <c r="D88" s="382"/>
      <c r="E88" s="397"/>
      <c r="F88" s="397"/>
      <c r="G88" s="397"/>
      <c r="H88" s="397"/>
      <c r="I88" s="397"/>
      <c r="J88" s="397"/>
    </row>
    <row r="89" spans="1:10" ht="16.5">
      <c r="A89" s="382"/>
      <c r="B89" s="395"/>
      <c r="C89" s="396"/>
      <c r="D89" s="382"/>
      <c r="E89" s="397"/>
      <c r="F89" s="397"/>
      <c r="G89" s="397"/>
      <c r="H89" s="397"/>
      <c r="I89" s="397"/>
      <c r="J89" s="397"/>
    </row>
    <row r="90" spans="1:10" ht="16.5">
      <c r="A90" s="382"/>
      <c r="B90" s="395"/>
      <c r="C90" s="396"/>
      <c r="D90" s="382"/>
      <c r="E90" s="397"/>
      <c r="F90" s="397"/>
      <c r="G90" s="397"/>
      <c r="H90" s="397"/>
      <c r="I90" s="397"/>
      <c r="J90" s="397"/>
    </row>
    <row r="91" spans="1:10" ht="16.5">
      <c r="A91" s="382"/>
      <c r="B91" s="395"/>
      <c r="C91" s="396"/>
      <c r="D91" s="382"/>
      <c r="E91" s="397"/>
      <c r="F91" s="397"/>
      <c r="G91" s="397"/>
      <c r="H91" s="397"/>
      <c r="I91" s="397"/>
      <c r="J91" s="397"/>
    </row>
    <row r="92" spans="1:10" ht="16.5">
      <c r="A92" s="382"/>
      <c r="B92" s="395"/>
      <c r="C92" s="396"/>
      <c r="D92" s="382"/>
      <c r="E92" s="397"/>
      <c r="F92" s="397"/>
      <c r="G92" s="397"/>
      <c r="H92" s="397"/>
      <c r="I92" s="397"/>
      <c r="J92" s="397"/>
    </row>
    <row r="93" spans="1:10" ht="16.5">
      <c r="A93" s="382"/>
      <c r="B93" s="395"/>
      <c r="C93" s="396"/>
      <c r="D93" s="382"/>
      <c r="E93" s="397"/>
      <c r="F93" s="397"/>
      <c r="G93" s="397"/>
      <c r="H93" s="397"/>
      <c r="I93" s="397"/>
      <c r="J93" s="397"/>
    </row>
    <row r="94" spans="1:10" ht="16.5">
      <c r="A94" s="382"/>
      <c r="B94" s="395"/>
      <c r="C94" s="396"/>
      <c r="D94" s="382"/>
      <c r="E94" s="397"/>
      <c r="F94" s="397"/>
      <c r="G94" s="397"/>
      <c r="H94" s="397"/>
      <c r="I94" s="397"/>
      <c r="J94" s="397"/>
    </row>
    <row r="95" spans="1:10" ht="16.5">
      <c r="A95" s="382"/>
      <c r="B95" s="395"/>
      <c r="C95" s="396"/>
      <c r="D95" s="382"/>
      <c r="E95" s="397"/>
      <c r="F95" s="397"/>
      <c r="G95" s="397"/>
      <c r="H95" s="397"/>
      <c r="I95" s="397"/>
      <c r="J95" s="397"/>
    </row>
    <row r="96" spans="1:10" ht="16.5">
      <c r="A96" s="382"/>
      <c r="B96" s="395"/>
      <c r="C96" s="396"/>
      <c r="D96" s="382"/>
      <c r="E96" s="397"/>
      <c r="F96" s="397"/>
      <c r="G96" s="397"/>
      <c r="H96" s="397"/>
      <c r="I96" s="397"/>
      <c r="J96" s="397"/>
    </row>
    <row r="97" spans="1:10" ht="16.5">
      <c r="A97" s="382"/>
      <c r="B97" s="395"/>
      <c r="C97" s="396"/>
      <c r="D97" s="382"/>
      <c r="E97" s="397"/>
      <c r="F97" s="397"/>
      <c r="G97" s="397"/>
      <c r="H97" s="397"/>
      <c r="I97" s="397"/>
      <c r="J97" s="397"/>
    </row>
    <row r="98" spans="1:10" ht="16.5">
      <c r="A98" s="382"/>
      <c r="B98" s="395"/>
      <c r="C98" s="396"/>
      <c r="D98" s="382"/>
      <c r="E98" s="397"/>
      <c r="F98" s="397"/>
      <c r="G98" s="397"/>
      <c r="H98" s="397"/>
      <c r="I98" s="397"/>
      <c r="J98" s="397"/>
    </row>
    <row r="99" spans="1:10" ht="16.5">
      <c r="A99" s="382"/>
      <c r="B99" s="395"/>
      <c r="C99" s="396"/>
      <c r="D99" s="382"/>
      <c r="E99" s="397"/>
      <c r="F99" s="397"/>
      <c r="G99" s="397"/>
      <c r="H99" s="397"/>
      <c r="I99" s="397"/>
      <c r="J99" s="397"/>
    </row>
    <row r="100" spans="1:10" ht="16.5">
      <c r="A100" s="382"/>
      <c r="B100" s="395"/>
      <c r="C100" s="396"/>
      <c r="D100" s="382"/>
      <c r="E100" s="397"/>
      <c r="F100" s="397"/>
      <c r="G100" s="397"/>
      <c r="H100" s="397"/>
      <c r="I100" s="397"/>
      <c r="J100" s="397"/>
    </row>
    <row r="101" spans="1:10" ht="16.5">
      <c r="A101" s="382"/>
      <c r="B101" s="395"/>
      <c r="C101" s="396"/>
      <c r="D101" s="382"/>
      <c r="E101" s="397"/>
      <c r="F101" s="397"/>
      <c r="G101" s="397"/>
      <c r="H101" s="397"/>
      <c r="I101" s="397"/>
      <c r="J101" s="397"/>
    </row>
    <row r="102" spans="1:10" ht="16.5">
      <c r="A102" s="382"/>
      <c r="B102" s="395"/>
      <c r="C102" s="396"/>
      <c r="D102" s="382"/>
      <c r="E102" s="397"/>
      <c r="F102" s="397"/>
      <c r="G102" s="397"/>
      <c r="H102" s="397"/>
      <c r="I102" s="397"/>
      <c r="J102" s="397"/>
    </row>
    <row r="103" spans="1:10" ht="16.5">
      <c r="A103" s="382"/>
      <c r="B103" s="395"/>
      <c r="C103" s="396"/>
      <c r="D103" s="382"/>
      <c r="E103" s="397"/>
      <c r="F103" s="397"/>
      <c r="G103" s="397"/>
      <c r="H103" s="397"/>
      <c r="I103" s="397"/>
      <c r="J103" s="397"/>
    </row>
    <row r="104" spans="1:10" ht="16.5">
      <c r="A104" s="382"/>
      <c r="B104" s="395"/>
      <c r="C104" s="396"/>
      <c r="D104" s="382"/>
      <c r="E104" s="397"/>
      <c r="F104" s="397"/>
      <c r="G104" s="397"/>
      <c r="H104" s="397"/>
      <c r="I104" s="397"/>
      <c r="J104" s="397"/>
    </row>
    <row r="105" spans="1:10" ht="16.5">
      <c r="A105" s="382"/>
      <c r="B105" s="395"/>
      <c r="C105" s="396"/>
      <c r="D105" s="382"/>
      <c r="E105" s="397"/>
      <c r="F105" s="397"/>
      <c r="G105" s="397"/>
      <c r="H105" s="397"/>
      <c r="I105" s="397"/>
      <c r="J105" s="397"/>
    </row>
    <row r="106" spans="1:10" ht="16.5">
      <c r="A106" s="382"/>
      <c r="B106" s="395"/>
      <c r="C106" s="396"/>
      <c r="D106" s="382"/>
      <c r="E106" s="397"/>
      <c r="F106" s="397"/>
      <c r="G106" s="397"/>
      <c r="H106" s="397"/>
      <c r="I106" s="397"/>
      <c r="J106" s="397"/>
    </row>
    <row r="107" spans="1:10" ht="16.5">
      <c r="A107" s="382"/>
      <c r="B107" s="395"/>
      <c r="C107" s="396"/>
      <c r="D107" s="382"/>
      <c r="E107" s="397"/>
      <c r="F107" s="397"/>
      <c r="G107" s="397"/>
      <c r="H107" s="397"/>
      <c r="I107" s="397"/>
      <c r="J107" s="397"/>
    </row>
    <row r="108" spans="1:10" ht="16.5">
      <c r="A108" s="382"/>
      <c r="B108" s="395"/>
      <c r="C108" s="396"/>
      <c r="D108" s="382"/>
      <c r="E108" s="397"/>
      <c r="F108" s="397"/>
      <c r="G108" s="397"/>
      <c r="H108" s="397"/>
      <c r="I108" s="397"/>
      <c r="J108" s="397"/>
    </row>
    <row r="109" spans="1:10" ht="16.5">
      <c r="A109" s="382"/>
      <c r="B109" s="395"/>
      <c r="C109" s="396"/>
      <c r="D109" s="382"/>
      <c r="E109" s="397"/>
      <c r="F109" s="397"/>
      <c r="G109" s="397"/>
      <c r="H109" s="397"/>
      <c r="I109" s="397"/>
      <c r="J109" s="397"/>
    </row>
    <row r="110" spans="1:10" ht="16.5">
      <c r="A110" s="382"/>
      <c r="B110" s="395"/>
      <c r="C110" s="396"/>
      <c r="D110" s="382"/>
      <c r="E110" s="397"/>
      <c r="F110" s="397"/>
      <c r="G110" s="397"/>
      <c r="H110" s="397"/>
      <c r="I110" s="397"/>
      <c r="J110" s="397"/>
    </row>
    <row r="111" spans="1:10" ht="16.5">
      <c r="A111" s="382"/>
      <c r="B111" s="395"/>
      <c r="C111" s="396"/>
      <c r="D111" s="382"/>
      <c r="E111" s="397"/>
      <c r="F111" s="397"/>
      <c r="G111" s="397"/>
      <c r="H111" s="397"/>
      <c r="I111" s="397"/>
      <c r="J111" s="397"/>
    </row>
    <row r="112" spans="1:10" ht="16.5">
      <c r="A112" s="382"/>
      <c r="B112" s="395"/>
      <c r="C112" s="396"/>
      <c r="D112" s="382"/>
      <c r="E112" s="397"/>
      <c r="F112" s="397"/>
      <c r="G112" s="397"/>
      <c r="H112" s="397"/>
      <c r="I112" s="397"/>
      <c r="J112" s="397"/>
    </row>
    <row r="113" spans="1:10" ht="16.5">
      <c r="A113" s="382"/>
      <c r="B113" s="395"/>
      <c r="C113" s="396"/>
      <c r="D113" s="382"/>
      <c r="E113" s="397"/>
      <c r="F113" s="397"/>
      <c r="G113" s="397"/>
      <c r="H113" s="397"/>
      <c r="I113" s="397"/>
      <c r="J113" s="397"/>
    </row>
    <row r="114" spans="1:10" ht="16.5">
      <c r="A114" s="382"/>
      <c r="B114" s="395"/>
      <c r="C114" s="396"/>
      <c r="D114" s="382"/>
      <c r="E114" s="397"/>
      <c r="F114" s="397"/>
      <c r="G114" s="397"/>
      <c r="H114" s="397"/>
      <c r="I114" s="397"/>
      <c r="J114" s="397"/>
    </row>
    <row r="115" spans="1:10" ht="16.5">
      <c r="A115" s="382"/>
      <c r="B115" s="395"/>
      <c r="C115" s="396"/>
      <c r="D115" s="382"/>
      <c r="E115" s="397"/>
      <c r="F115" s="397"/>
      <c r="G115" s="397"/>
      <c r="H115" s="397"/>
      <c r="I115" s="397"/>
      <c r="J115" s="397"/>
    </row>
    <row r="116" spans="1:10" ht="16.5">
      <c r="A116" s="382"/>
      <c r="B116" s="395"/>
      <c r="C116" s="396"/>
      <c r="D116" s="382"/>
      <c r="E116" s="397"/>
      <c r="F116" s="397"/>
      <c r="G116" s="397"/>
      <c r="H116" s="397"/>
      <c r="I116" s="397"/>
      <c r="J116" s="397"/>
    </row>
    <row r="117" spans="1:10" ht="16.5">
      <c r="A117" s="382"/>
      <c r="B117" s="395"/>
      <c r="C117" s="396"/>
      <c r="D117" s="382"/>
      <c r="E117" s="397"/>
      <c r="F117" s="397"/>
      <c r="G117" s="397"/>
      <c r="H117" s="397"/>
      <c r="I117" s="397"/>
      <c r="J117" s="397"/>
    </row>
    <row r="118" spans="1:10" ht="16.5">
      <c r="A118" s="382"/>
      <c r="B118" s="395"/>
      <c r="C118" s="396"/>
      <c r="D118" s="382"/>
      <c r="E118" s="397"/>
      <c r="F118" s="397"/>
      <c r="G118" s="397"/>
      <c r="H118" s="397"/>
      <c r="I118" s="397"/>
      <c r="J118" s="397"/>
    </row>
    <row r="119" spans="1:10" ht="16.5">
      <c r="A119" s="382"/>
      <c r="B119" s="395"/>
      <c r="C119" s="396"/>
      <c r="D119" s="382"/>
      <c r="E119" s="397"/>
      <c r="F119" s="397"/>
      <c r="G119" s="397"/>
      <c r="H119" s="397"/>
      <c r="I119" s="397"/>
      <c r="J119" s="397"/>
    </row>
    <row r="120" spans="1:10" ht="16.5">
      <c r="A120" s="382"/>
      <c r="B120" s="395"/>
      <c r="C120" s="396"/>
      <c r="D120" s="382"/>
      <c r="E120" s="397"/>
      <c r="F120" s="397"/>
      <c r="G120" s="397"/>
      <c r="H120" s="397"/>
      <c r="I120" s="397"/>
      <c r="J120" s="397"/>
    </row>
    <row r="121" spans="1:10" ht="16.5">
      <c r="A121" s="382"/>
      <c r="B121" s="395"/>
      <c r="C121" s="396"/>
      <c r="D121" s="382"/>
      <c r="E121" s="397"/>
      <c r="F121" s="397"/>
      <c r="G121" s="397"/>
      <c r="H121" s="397"/>
      <c r="I121" s="397"/>
      <c r="J121" s="397"/>
    </row>
    <row r="122" spans="1:10" ht="16.5">
      <c r="A122" s="382"/>
      <c r="B122" s="395"/>
      <c r="C122" s="396"/>
      <c r="D122" s="382"/>
      <c r="E122" s="397"/>
      <c r="F122" s="397"/>
      <c r="G122" s="397"/>
      <c r="H122" s="397"/>
      <c r="I122" s="397"/>
      <c r="J122" s="397"/>
    </row>
    <row r="123" spans="1:10" ht="16.5">
      <c r="A123" s="382"/>
      <c r="B123" s="395"/>
      <c r="C123" s="396"/>
      <c r="D123" s="382"/>
      <c r="E123" s="397"/>
      <c r="F123" s="397"/>
      <c r="G123" s="397"/>
      <c r="H123" s="397"/>
      <c r="I123" s="397"/>
      <c r="J123" s="397"/>
    </row>
    <row r="124" spans="1:10" ht="16.5">
      <c r="A124" s="382"/>
      <c r="B124" s="395"/>
      <c r="C124" s="396"/>
      <c r="D124" s="382"/>
      <c r="E124" s="397"/>
      <c r="F124" s="397"/>
      <c r="G124" s="397"/>
      <c r="H124" s="397"/>
      <c r="I124" s="397"/>
      <c r="J124" s="397"/>
    </row>
    <row r="125" spans="1:10" ht="16.5">
      <c r="A125" s="382"/>
      <c r="B125" s="395"/>
      <c r="C125" s="396"/>
      <c r="D125" s="382"/>
      <c r="E125" s="397"/>
      <c r="F125" s="397"/>
      <c r="G125" s="397"/>
      <c r="H125" s="397"/>
      <c r="I125" s="397"/>
      <c r="J125" s="397"/>
    </row>
    <row r="126" spans="1:10" ht="16.5">
      <c r="A126" s="382"/>
      <c r="B126" s="395"/>
      <c r="C126" s="396"/>
      <c r="D126" s="382"/>
      <c r="E126" s="397"/>
      <c r="F126" s="397"/>
      <c r="G126" s="397"/>
      <c r="H126" s="397"/>
      <c r="I126" s="397"/>
      <c r="J126" s="397"/>
    </row>
    <row r="127" spans="1:10" ht="16.5">
      <c r="A127" s="382"/>
      <c r="B127" s="395"/>
      <c r="C127" s="396"/>
      <c r="D127" s="382"/>
      <c r="E127" s="397"/>
      <c r="F127" s="397"/>
      <c r="G127" s="397"/>
      <c r="H127" s="397"/>
      <c r="I127" s="397"/>
      <c r="J127" s="397"/>
    </row>
    <row r="128" spans="1:10" ht="16.5">
      <c r="A128" s="382"/>
      <c r="B128" s="395"/>
      <c r="C128" s="396"/>
      <c r="D128" s="382"/>
      <c r="E128" s="397"/>
      <c r="F128" s="397"/>
      <c r="G128" s="397"/>
      <c r="H128" s="397"/>
      <c r="I128" s="397"/>
      <c r="J128" s="397"/>
    </row>
    <row r="129" spans="1:10" ht="16.5">
      <c r="A129" s="382"/>
      <c r="B129" s="395"/>
      <c r="C129" s="396"/>
      <c r="D129" s="382"/>
      <c r="E129" s="397"/>
      <c r="F129" s="397"/>
      <c r="G129" s="397"/>
      <c r="H129" s="397"/>
      <c r="I129" s="397"/>
      <c r="J129" s="397"/>
    </row>
    <row r="130" spans="1:10" ht="16.5">
      <c r="A130" s="382"/>
      <c r="B130" s="395"/>
      <c r="C130" s="396"/>
      <c r="D130" s="382"/>
      <c r="E130" s="397"/>
      <c r="F130" s="397"/>
      <c r="G130" s="397"/>
      <c r="H130" s="397"/>
      <c r="I130" s="397"/>
      <c r="J130" s="397"/>
    </row>
    <row r="131" spans="1:10" ht="16.5">
      <c r="A131" s="382"/>
      <c r="B131" s="395"/>
      <c r="C131" s="396"/>
      <c r="D131" s="382"/>
      <c r="E131" s="397"/>
      <c r="F131" s="397"/>
      <c r="G131" s="397"/>
      <c r="H131" s="397"/>
      <c r="I131" s="397"/>
      <c r="J131" s="397"/>
    </row>
    <row r="132" spans="1:10" ht="16.5">
      <c r="A132" s="382"/>
      <c r="B132" s="395"/>
      <c r="C132" s="396"/>
      <c r="D132" s="382"/>
      <c r="E132" s="397"/>
      <c r="F132" s="397"/>
      <c r="G132" s="397"/>
      <c r="H132" s="397"/>
      <c r="I132" s="397"/>
      <c r="J132" s="397"/>
    </row>
    <row r="133" spans="1:10" ht="16.5">
      <c r="A133" s="382"/>
      <c r="B133" s="395"/>
      <c r="C133" s="396"/>
      <c r="D133" s="382"/>
      <c r="E133" s="397"/>
      <c r="F133" s="397"/>
      <c r="G133" s="397"/>
      <c r="H133" s="397"/>
      <c r="I133" s="397"/>
      <c r="J133" s="397"/>
    </row>
    <row r="134" spans="1:10" ht="16.5">
      <c r="A134" s="382"/>
      <c r="B134" s="395"/>
      <c r="C134" s="396"/>
      <c r="D134" s="382"/>
      <c r="E134" s="397"/>
      <c r="F134" s="397"/>
      <c r="G134" s="397"/>
      <c r="H134" s="397"/>
      <c r="I134" s="397"/>
      <c r="J134" s="397"/>
    </row>
    <row r="135" spans="1:10" ht="16.5">
      <c r="A135" s="382"/>
      <c r="B135" s="395"/>
      <c r="C135" s="396"/>
      <c r="D135" s="382"/>
      <c r="E135" s="397"/>
      <c r="F135" s="397"/>
      <c r="G135" s="397"/>
      <c r="H135" s="397"/>
      <c r="I135" s="397"/>
      <c r="J135" s="397"/>
    </row>
    <row r="136" spans="1:10" ht="16.5">
      <c r="A136" s="382"/>
      <c r="B136" s="395"/>
      <c r="C136" s="396"/>
      <c r="D136" s="382"/>
      <c r="E136" s="397"/>
      <c r="F136" s="397"/>
      <c r="G136" s="397"/>
      <c r="H136" s="397"/>
      <c r="I136" s="397"/>
      <c r="J136" s="397"/>
    </row>
    <row r="137" spans="1:10" ht="16.5">
      <c r="A137" s="382"/>
      <c r="B137" s="395"/>
      <c r="C137" s="396"/>
      <c r="D137" s="382"/>
      <c r="E137" s="397"/>
      <c r="F137" s="397"/>
      <c r="G137" s="397"/>
      <c r="H137" s="397"/>
      <c r="I137" s="397"/>
      <c r="J137" s="397"/>
    </row>
    <row r="138" spans="1:10" ht="16.5">
      <c r="A138" s="382"/>
      <c r="B138" s="395"/>
      <c r="C138" s="396"/>
      <c r="D138" s="382"/>
      <c r="E138" s="397"/>
      <c r="F138" s="397"/>
      <c r="G138" s="397"/>
      <c r="H138" s="397"/>
      <c r="I138" s="397"/>
      <c r="J138" s="397"/>
    </row>
    <row r="139" spans="1:10" ht="16.5">
      <c r="A139" s="382"/>
      <c r="B139" s="395"/>
      <c r="C139" s="396"/>
      <c r="D139" s="382"/>
      <c r="E139" s="397"/>
      <c r="F139" s="397"/>
      <c r="G139" s="397"/>
      <c r="H139" s="397"/>
      <c r="I139" s="397"/>
      <c r="J139" s="397"/>
    </row>
    <row r="140" spans="1:10" ht="16.5">
      <c r="A140" s="382"/>
      <c r="B140" s="395"/>
      <c r="C140" s="396"/>
      <c r="D140" s="382"/>
      <c r="E140" s="397"/>
      <c r="F140" s="397"/>
      <c r="G140" s="397"/>
      <c r="H140" s="397"/>
      <c r="I140" s="397"/>
      <c r="J140" s="397"/>
    </row>
    <row r="141" spans="1:10" ht="16.5">
      <c r="A141" s="382"/>
      <c r="B141" s="395"/>
      <c r="C141" s="396"/>
      <c r="D141" s="382"/>
      <c r="E141" s="397"/>
      <c r="F141" s="397"/>
      <c r="G141" s="397"/>
      <c r="H141" s="397"/>
      <c r="I141" s="397"/>
      <c r="J141" s="397"/>
    </row>
    <row r="142" spans="1:10" ht="16.5">
      <c r="A142" s="382"/>
      <c r="B142" s="395"/>
      <c r="C142" s="396"/>
      <c r="D142" s="382"/>
      <c r="E142" s="397"/>
      <c r="F142" s="397"/>
      <c r="G142" s="397"/>
      <c r="H142" s="397"/>
      <c r="I142" s="397"/>
      <c r="J142" s="397"/>
    </row>
    <row r="143" spans="1:10" ht="16.5">
      <c r="A143" s="382"/>
      <c r="B143" s="395"/>
      <c r="C143" s="396"/>
      <c r="D143" s="382"/>
      <c r="E143" s="397"/>
      <c r="F143" s="397"/>
      <c r="G143" s="397"/>
      <c r="H143" s="397"/>
      <c r="I143" s="397"/>
      <c r="J143" s="397"/>
    </row>
    <row r="144" spans="1:10" ht="16.5">
      <c r="A144" s="382"/>
      <c r="B144" s="395"/>
      <c r="C144" s="396"/>
      <c r="D144" s="382"/>
      <c r="E144" s="397"/>
      <c r="F144" s="397"/>
      <c r="G144" s="397"/>
      <c r="H144" s="397"/>
      <c r="I144" s="397"/>
      <c r="J144" s="397"/>
    </row>
    <row r="145" spans="1:10" ht="16.5">
      <c r="A145" s="382"/>
      <c r="B145" s="395"/>
      <c r="C145" s="396"/>
      <c r="D145" s="382"/>
      <c r="E145" s="397"/>
      <c r="F145" s="397"/>
      <c r="G145" s="397"/>
      <c r="H145" s="397"/>
      <c r="I145" s="397"/>
      <c r="J145" s="397"/>
    </row>
    <row r="146" spans="1:10" ht="16.5">
      <c r="A146" s="382"/>
      <c r="B146" s="395"/>
      <c r="C146" s="396"/>
      <c r="D146" s="382"/>
      <c r="E146" s="397"/>
      <c r="F146" s="397"/>
      <c r="G146" s="397"/>
      <c r="H146" s="397"/>
      <c r="I146" s="397"/>
      <c r="J146" s="397"/>
    </row>
    <row r="147" spans="1:10" ht="16.5">
      <c r="A147" s="382"/>
      <c r="B147" s="395"/>
      <c r="C147" s="396"/>
      <c r="D147" s="382"/>
      <c r="E147" s="397"/>
      <c r="F147" s="397"/>
      <c r="G147" s="397"/>
      <c r="H147" s="397"/>
      <c r="I147" s="397"/>
      <c r="J147" s="397"/>
    </row>
    <row r="148" spans="1:10" ht="16.5">
      <c r="A148" s="382"/>
      <c r="B148" s="395"/>
      <c r="C148" s="396"/>
      <c r="D148" s="382"/>
      <c r="E148" s="397"/>
      <c r="F148" s="397"/>
      <c r="G148" s="397"/>
      <c r="H148" s="397"/>
      <c r="I148" s="397"/>
      <c r="J148" s="397"/>
    </row>
    <row r="149" spans="1:10" ht="16.5">
      <c r="A149" s="382"/>
      <c r="B149" s="395"/>
      <c r="C149" s="396"/>
      <c r="D149" s="382"/>
      <c r="E149" s="397"/>
      <c r="F149" s="397"/>
      <c r="G149" s="397"/>
      <c r="H149" s="397"/>
      <c r="I149" s="397"/>
      <c r="J149" s="397"/>
    </row>
    <row r="150" spans="1:10" ht="16.5">
      <c r="A150" s="382"/>
      <c r="B150" s="395"/>
      <c r="C150" s="396"/>
      <c r="D150" s="382"/>
      <c r="E150" s="397"/>
      <c r="F150" s="397"/>
      <c r="G150" s="397"/>
      <c r="H150" s="397"/>
      <c r="I150" s="397"/>
      <c r="J150" s="397"/>
    </row>
    <row r="151" spans="1:10" ht="16.5">
      <c r="A151" s="382"/>
      <c r="B151" s="395"/>
      <c r="C151" s="396"/>
      <c r="D151" s="382"/>
      <c r="E151" s="397"/>
      <c r="F151" s="397"/>
      <c r="G151" s="397"/>
      <c r="H151" s="397"/>
      <c r="I151" s="397"/>
      <c r="J151" s="397"/>
    </row>
    <row r="152" spans="1:10" ht="16.5">
      <c r="A152" s="382"/>
      <c r="B152" s="395"/>
      <c r="C152" s="396"/>
      <c r="D152" s="382"/>
      <c r="E152" s="397"/>
      <c r="F152" s="397"/>
      <c r="G152" s="397"/>
      <c r="H152" s="397"/>
      <c r="I152" s="397"/>
      <c r="J152" s="397"/>
    </row>
    <row r="153" spans="1:10" ht="16.5">
      <c r="A153" s="382"/>
      <c r="B153" s="395"/>
      <c r="C153" s="396"/>
      <c r="D153" s="382"/>
      <c r="E153" s="397"/>
      <c r="F153" s="397"/>
      <c r="G153" s="397"/>
      <c r="H153" s="397"/>
      <c r="I153" s="397"/>
      <c r="J153" s="397"/>
    </row>
    <row r="154" spans="1:10" ht="16.5">
      <c r="A154" s="382"/>
      <c r="B154" s="395"/>
      <c r="C154" s="396"/>
      <c r="D154" s="382"/>
      <c r="E154" s="397"/>
      <c r="F154" s="397"/>
      <c r="G154" s="397"/>
      <c r="H154" s="397"/>
      <c r="I154" s="397"/>
      <c r="J154" s="397"/>
    </row>
    <row r="155" spans="1:10" ht="16.5">
      <c r="A155" s="382"/>
      <c r="B155" s="395"/>
      <c r="C155" s="396"/>
      <c r="D155" s="382"/>
      <c r="E155" s="397"/>
      <c r="F155" s="397"/>
      <c r="G155" s="397"/>
      <c r="H155" s="397"/>
      <c r="I155" s="397"/>
      <c r="J155" s="397"/>
    </row>
    <row r="156" spans="1:10" ht="16.5">
      <c r="A156" s="382"/>
      <c r="B156" s="395"/>
      <c r="C156" s="396"/>
      <c r="D156" s="382"/>
      <c r="E156" s="397"/>
      <c r="F156" s="397"/>
      <c r="G156" s="397"/>
      <c r="H156" s="397"/>
      <c r="I156" s="397"/>
      <c r="J156" s="397"/>
    </row>
    <row r="157" spans="1:10" ht="16.5">
      <c r="A157" s="382"/>
      <c r="B157" s="395"/>
      <c r="C157" s="396"/>
      <c r="D157" s="382"/>
      <c r="E157" s="397"/>
      <c r="F157" s="397"/>
      <c r="G157" s="397"/>
      <c r="H157" s="397"/>
      <c r="I157" s="397"/>
      <c r="J157" s="397"/>
    </row>
    <row r="158" spans="1:10" ht="16.5">
      <c r="A158" s="382"/>
      <c r="B158" s="395"/>
      <c r="C158" s="396"/>
      <c r="D158" s="382"/>
      <c r="E158" s="397"/>
      <c r="F158" s="397"/>
      <c r="G158" s="397"/>
      <c r="H158" s="397"/>
      <c r="I158" s="397"/>
      <c r="J158" s="397"/>
    </row>
    <row r="159" spans="1:10" ht="16.5">
      <c r="A159" s="382"/>
      <c r="B159" s="395"/>
      <c r="C159" s="396"/>
      <c r="D159" s="382"/>
      <c r="E159" s="397"/>
      <c r="F159" s="397"/>
      <c r="G159" s="397"/>
      <c r="H159" s="397"/>
      <c r="I159" s="397"/>
      <c r="J159" s="397"/>
    </row>
    <row r="160" spans="1:10" ht="16.5">
      <c r="A160" s="382"/>
      <c r="B160" s="395"/>
      <c r="C160" s="396"/>
      <c r="D160" s="382"/>
      <c r="E160" s="397"/>
      <c r="F160" s="397"/>
      <c r="G160" s="397"/>
      <c r="H160" s="397"/>
      <c r="I160" s="397"/>
      <c r="J160" s="397"/>
    </row>
    <row r="161" spans="1:10" ht="16.5">
      <c r="A161" s="382"/>
      <c r="B161" s="395"/>
      <c r="C161" s="396"/>
      <c r="D161" s="382"/>
      <c r="E161" s="397"/>
      <c r="F161" s="397"/>
      <c r="G161" s="397"/>
      <c r="H161" s="397"/>
      <c r="I161" s="397"/>
      <c r="J161" s="397"/>
    </row>
    <row r="162" spans="1:10" ht="16.5">
      <c r="A162" s="382"/>
      <c r="B162" s="395"/>
      <c r="C162" s="396"/>
      <c r="D162" s="382"/>
      <c r="E162" s="397"/>
      <c r="F162" s="397"/>
      <c r="G162" s="397"/>
      <c r="H162" s="397"/>
      <c r="I162" s="397"/>
      <c r="J162" s="397"/>
    </row>
    <row r="163" spans="1:10" ht="16.5">
      <c r="A163" s="382"/>
      <c r="B163" s="395"/>
      <c r="C163" s="396"/>
      <c r="D163" s="382"/>
      <c r="E163" s="397"/>
      <c r="F163" s="397"/>
      <c r="G163" s="397"/>
      <c r="H163" s="397"/>
      <c r="I163" s="397"/>
      <c r="J163" s="397"/>
    </row>
    <row r="164" spans="1:10" ht="16.5">
      <c r="A164" s="382"/>
      <c r="B164" s="395"/>
      <c r="C164" s="396"/>
      <c r="D164" s="382"/>
      <c r="E164" s="397"/>
      <c r="F164" s="397"/>
      <c r="G164" s="397"/>
      <c r="H164" s="397"/>
      <c r="I164" s="397"/>
      <c r="J164" s="397"/>
    </row>
    <row r="165" spans="1:10" ht="16.5">
      <c r="A165" s="382"/>
      <c r="B165" s="395"/>
      <c r="C165" s="396"/>
      <c r="D165" s="382"/>
      <c r="E165" s="397"/>
      <c r="F165" s="397"/>
      <c r="G165" s="397"/>
      <c r="H165" s="397"/>
      <c r="I165" s="397"/>
      <c r="J165" s="397"/>
    </row>
    <row r="166" spans="1:10" ht="16.5">
      <c r="A166" s="382"/>
      <c r="B166" s="395"/>
      <c r="C166" s="396"/>
      <c r="D166" s="382"/>
      <c r="E166" s="397"/>
      <c r="F166" s="397"/>
      <c r="G166" s="397"/>
      <c r="H166" s="397"/>
      <c r="I166" s="397"/>
      <c r="J166" s="397"/>
    </row>
    <row r="167" spans="1:10" ht="16.5">
      <c r="A167" s="382"/>
      <c r="B167" s="395"/>
      <c r="C167" s="396"/>
      <c r="D167" s="382"/>
      <c r="E167" s="397"/>
      <c r="F167" s="397"/>
      <c r="G167" s="397"/>
      <c r="H167" s="397"/>
      <c r="I167" s="397"/>
      <c r="J167" s="397"/>
    </row>
    <row r="168" spans="1:10" ht="16.5">
      <c r="A168" s="382"/>
      <c r="B168" s="395"/>
      <c r="C168" s="396"/>
      <c r="D168" s="382"/>
      <c r="E168" s="397"/>
      <c r="F168" s="397"/>
      <c r="G168" s="397"/>
      <c r="H168" s="397"/>
      <c r="I168" s="397"/>
      <c r="J168" s="397"/>
    </row>
    <row r="169" spans="1:10" ht="16.5">
      <c r="A169" s="382"/>
      <c r="B169" s="395"/>
      <c r="C169" s="396"/>
      <c r="D169" s="382"/>
      <c r="E169" s="397"/>
      <c r="F169" s="397"/>
      <c r="G169" s="397"/>
      <c r="H169" s="397"/>
      <c r="I169" s="397"/>
      <c r="J169" s="397"/>
    </row>
    <row r="170" spans="1:10" ht="16.5">
      <c r="A170" s="382"/>
      <c r="B170" s="395"/>
      <c r="C170" s="396"/>
      <c r="D170" s="382"/>
      <c r="E170" s="397"/>
      <c r="F170" s="397"/>
      <c r="G170" s="397"/>
      <c r="H170" s="397"/>
      <c r="I170" s="397"/>
      <c r="J170" s="397"/>
    </row>
    <row r="171" spans="1:10" ht="16.5">
      <c r="A171" s="382"/>
      <c r="B171" s="395"/>
      <c r="C171" s="396"/>
      <c r="D171" s="382"/>
      <c r="E171" s="397"/>
      <c r="F171" s="397"/>
      <c r="G171" s="397"/>
      <c r="H171" s="397"/>
      <c r="I171" s="397"/>
      <c r="J171" s="397"/>
    </row>
    <row r="172" spans="1:10" ht="16.5">
      <c r="A172" s="382"/>
      <c r="B172" s="395"/>
      <c r="C172" s="396"/>
      <c r="D172" s="382"/>
      <c r="E172" s="397"/>
      <c r="F172" s="397"/>
      <c r="G172" s="397"/>
      <c r="H172" s="397"/>
      <c r="I172" s="397"/>
      <c r="J172" s="397"/>
    </row>
    <row r="173" spans="1:10" ht="16.5">
      <c r="A173" s="382"/>
      <c r="B173" s="395"/>
      <c r="C173" s="396"/>
      <c r="D173" s="382"/>
      <c r="E173" s="397"/>
      <c r="F173" s="397"/>
      <c r="G173" s="397"/>
      <c r="H173" s="397"/>
      <c r="I173" s="397"/>
      <c r="J173" s="397"/>
    </row>
    <row r="174" spans="1:10" ht="16.5">
      <c r="A174" s="382"/>
      <c r="B174" s="395"/>
      <c r="C174" s="396"/>
      <c r="D174" s="382"/>
      <c r="E174" s="397"/>
      <c r="F174" s="397"/>
      <c r="G174" s="397"/>
      <c r="H174" s="397"/>
      <c r="I174" s="397"/>
      <c r="J174" s="397"/>
    </row>
    <row r="175" spans="1:10" ht="16.5">
      <c r="A175" s="382"/>
      <c r="B175" s="395"/>
      <c r="C175" s="396"/>
      <c r="D175" s="382"/>
      <c r="E175" s="397"/>
      <c r="F175" s="397"/>
      <c r="G175" s="397"/>
      <c r="H175" s="397"/>
      <c r="I175" s="397"/>
      <c r="J175" s="397"/>
    </row>
    <row r="176" spans="1:10" ht="16.5">
      <c r="A176" s="382"/>
      <c r="B176" s="395"/>
      <c r="C176" s="396"/>
      <c r="D176" s="382"/>
      <c r="E176" s="397"/>
      <c r="F176" s="397"/>
      <c r="G176" s="397"/>
      <c r="H176" s="397"/>
      <c r="I176" s="397"/>
      <c r="J176" s="397"/>
    </row>
    <row r="177" spans="1:10" ht="16.5">
      <c r="A177" s="382"/>
      <c r="B177" s="395"/>
      <c r="C177" s="396"/>
      <c r="D177" s="382"/>
      <c r="E177" s="397"/>
      <c r="F177" s="397"/>
      <c r="G177" s="397"/>
      <c r="H177" s="397"/>
      <c r="I177" s="397"/>
      <c r="J177" s="397"/>
    </row>
    <row r="178" spans="1:10" ht="16.5">
      <c r="A178" s="382"/>
      <c r="B178" s="395"/>
      <c r="C178" s="396"/>
      <c r="D178" s="382"/>
      <c r="E178" s="397"/>
      <c r="F178" s="397"/>
      <c r="G178" s="397"/>
      <c r="H178" s="397"/>
      <c r="I178" s="397"/>
      <c r="J178" s="397"/>
    </row>
    <row r="179" spans="1:10" ht="16.5">
      <c r="A179" s="382"/>
      <c r="B179" s="395"/>
      <c r="C179" s="396"/>
      <c r="D179" s="382"/>
      <c r="E179" s="397"/>
      <c r="F179" s="397"/>
      <c r="G179" s="397"/>
      <c r="H179" s="397"/>
      <c r="I179" s="397"/>
      <c r="J179" s="397"/>
    </row>
    <row r="180" spans="1:10" ht="16.5">
      <c r="A180" s="382"/>
      <c r="B180" s="395"/>
      <c r="C180" s="396"/>
      <c r="D180" s="382"/>
      <c r="E180" s="397"/>
      <c r="F180" s="397"/>
      <c r="G180" s="397"/>
      <c r="H180" s="397"/>
      <c r="I180" s="397"/>
      <c r="J180" s="397"/>
    </row>
    <row r="181" spans="1:10" ht="16.5">
      <c r="A181" s="382"/>
      <c r="B181" s="395"/>
      <c r="C181" s="396"/>
      <c r="D181" s="382"/>
      <c r="E181" s="397"/>
      <c r="F181" s="397"/>
      <c r="G181" s="397"/>
      <c r="H181" s="397"/>
      <c r="I181" s="397"/>
      <c r="J181" s="397"/>
    </row>
    <row r="182" spans="1:10" ht="16.5">
      <c r="A182" s="382"/>
      <c r="B182" s="395"/>
      <c r="C182" s="396"/>
      <c r="D182" s="382"/>
      <c r="E182" s="397"/>
      <c r="F182" s="397"/>
      <c r="G182" s="397"/>
      <c r="H182" s="397"/>
      <c r="I182" s="397"/>
      <c r="J182" s="397"/>
    </row>
    <row r="183" spans="1:10" ht="16.5">
      <c r="A183" s="382"/>
      <c r="B183" s="395"/>
      <c r="C183" s="396"/>
      <c r="D183" s="382"/>
      <c r="E183" s="397"/>
      <c r="F183" s="397"/>
      <c r="G183" s="397"/>
      <c r="H183" s="397"/>
      <c r="I183" s="397"/>
      <c r="J183" s="397"/>
    </row>
    <row r="184" spans="1:10" ht="16.5">
      <c r="A184" s="382"/>
      <c r="B184" s="395"/>
      <c r="C184" s="396"/>
      <c r="D184" s="382"/>
      <c r="E184" s="397"/>
      <c r="F184" s="397"/>
      <c r="G184" s="397"/>
      <c r="H184" s="397"/>
      <c r="I184" s="397"/>
      <c r="J184" s="397"/>
    </row>
    <row r="185" spans="1:10" ht="16.5">
      <c r="A185" s="382"/>
      <c r="B185" s="395"/>
      <c r="C185" s="396"/>
      <c r="D185" s="382"/>
      <c r="E185" s="397"/>
      <c r="F185" s="397"/>
      <c r="G185" s="397"/>
      <c r="H185" s="397"/>
      <c r="I185" s="397"/>
      <c r="J185" s="397"/>
    </row>
    <row r="186" spans="1:10" ht="16.5">
      <c r="A186" s="382"/>
      <c r="B186" s="395"/>
      <c r="C186" s="396"/>
      <c r="D186" s="382"/>
      <c r="E186" s="397"/>
      <c r="F186" s="397"/>
      <c r="G186" s="397"/>
      <c r="H186" s="397"/>
      <c r="I186" s="397"/>
      <c r="J186" s="397"/>
    </row>
    <row r="187" spans="1:10" ht="16.5">
      <c r="A187" s="382"/>
      <c r="B187" s="395"/>
      <c r="C187" s="396"/>
      <c r="D187" s="382"/>
      <c r="E187" s="397"/>
      <c r="F187" s="397"/>
      <c r="G187" s="397"/>
      <c r="H187" s="397"/>
      <c r="I187" s="397"/>
      <c r="J187" s="397"/>
    </row>
    <row r="188" spans="1:10" ht="16.5">
      <c r="A188" s="382"/>
      <c r="B188" s="395"/>
      <c r="C188" s="396"/>
      <c r="D188" s="382"/>
      <c r="E188" s="397"/>
      <c r="F188" s="397"/>
      <c r="G188" s="397"/>
      <c r="H188" s="397"/>
      <c r="I188" s="397"/>
      <c r="J188" s="397"/>
    </row>
    <row r="189" spans="1:10" ht="16.5">
      <c r="A189" s="382"/>
      <c r="B189" s="395"/>
      <c r="C189" s="396"/>
      <c r="D189" s="382"/>
      <c r="E189" s="397"/>
      <c r="F189" s="397"/>
      <c r="G189" s="397"/>
      <c r="H189" s="397"/>
      <c r="I189" s="397"/>
      <c r="J189" s="397"/>
    </row>
    <row r="190" spans="1:10" ht="16.5">
      <c r="A190" s="382"/>
      <c r="B190" s="395"/>
      <c r="C190" s="396"/>
      <c r="D190" s="382"/>
      <c r="E190" s="397"/>
      <c r="F190" s="397"/>
      <c r="G190" s="397"/>
      <c r="H190" s="397"/>
      <c r="I190" s="397"/>
      <c r="J190" s="397"/>
    </row>
    <row r="191" spans="1:10" ht="16.5">
      <c r="A191" s="382"/>
      <c r="B191" s="395"/>
      <c r="C191" s="396"/>
      <c r="D191" s="382"/>
      <c r="E191" s="397"/>
      <c r="F191" s="397"/>
      <c r="G191" s="397"/>
      <c r="H191" s="397"/>
      <c r="I191" s="397"/>
      <c r="J191" s="397"/>
    </row>
    <row r="192" spans="1:10" ht="16.5">
      <c r="A192" s="382"/>
      <c r="B192" s="395"/>
      <c r="C192" s="396"/>
      <c r="D192" s="382"/>
      <c r="E192" s="397"/>
      <c r="F192" s="397"/>
      <c r="G192" s="397"/>
      <c r="H192" s="397"/>
      <c r="I192" s="397"/>
      <c r="J192" s="397"/>
    </row>
    <row r="193" spans="1:10" ht="16.5">
      <c r="A193" s="382"/>
      <c r="B193" s="395"/>
      <c r="C193" s="396"/>
      <c r="D193" s="382"/>
      <c r="E193" s="397"/>
      <c r="F193" s="397"/>
      <c r="G193" s="397"/>
      <c r="H193" s="397"/>
      <c r="I193" s="397"/>
      <c r="J193" s="397"/>
    </row>
    <row r="194" spans="1:10" ht="16.5">
      <c r="A194" s="382"/>
      <c r="B194" s="395"/>
      <c r="C194" s="396"/>
      <c r="D194" s="382"/>
      <c r="E194" s="397"/>
      <c r="F194" s="397"/>
      <c r="G194" s="397"/>
      <c r="H194" s="397"/>
      <c r="I194" s="397"/>
      <c r="J194" s="397"/>
    </row>
    <row r="195" spans="1:10" ht="16.5">
      <c r="A195" s="382"/>
      <c r="B195" s="395"/>
      <c r="C195" s="396"/>
      <c r="D195" s="382"/>
      <c r="E195" s="397"/>
      <c r="F195" s="397"/>
      <c r="G195" s="397"/>
      <c r="H195" s="397"/>
      <c r="I195" s="397"/>
      <c r="J195" s="397"/>
    </row>
    <row r="196" spans="1:10" ht="16.5">
      <c r="A196" s="382"/>
      <c r="B196" s="395"/>
      <c r="C196" s="396"/>
      <c r="D196" s="382"/>
      <c r="E196" s="397"/>
      <c r="F196" s="397"/>
      <c r="G196" s="397"/>
      <c r="H196" s="397"/>
      <c r="I196" s="397"/>
      <c r="J196" s="397"/>
    </row>
    <row r="197" spans="1:10" ht="16.5">
      <c r="A197" s="382"/>
      <c r="B197" s="395"/>
      <c r="C197" s="396"/>
      <c r="D197" s="382"/>
      <c r="E197" s="397"/>
      <c r="F197" s="397"/>
      <c r="G197" s="397"/>
      <c r="H197" s="397"/>
      <c r="I197" s="397"/>
      <c r="J197" s="397"/>
    </row>
    <row r="198" spans="1:10" ht="16.5">
      <c r="A198" s="382"/>
      <c r="B198" s="395"/>
      <c r="C198" s="396"/>
      <c r="D198" s="382"/>
      <c r="E198" s="397"/>
      <c r="F198" s="397"/>
      <c r="G198" s="397"/>
      <c r="H198" s="397"/>
      <c r="I198" s="397"/>
      <c r="J198" s="397"/>
    </row>
    <row r="199" spans="1:10" ht="16.5">
      <c r="A199" s="382"/>
      <c r="B199" s="395"/>
      <c r="C199" s="396"/>
      <c r="D199" s="382"/>
      <c r="E199" s="397"/>
      <c r="F199" s="397"/>
      <c r="G199" s="397"/>
      <c r="H199" s="397"/>
      <c r="I199" s="397"/>
      <c r="J199" s="397"/>
    </row>
    <row r="200" spans="1:10" ht="16.5">
      <c r="A200" s="382"/>
      <c r="B200" s="395"/>
      <c r="C200" s="396"/>
      <c r="D200" s="382"/>
      <c r="E200" s="397"/>
      <c r="F200" s="397"/>
      <c r="G200" s="397"/>
      <c r="H200" s="397"/>
      <c r="I200" s="397"/>
      <c r="J200" s="397"/>
    </row>
    <row r="201" spans="1:10" ht="16.5">
      <c r="A201" s="382"/>
      <c r="B201" s="395"/>
      <c r="C201" s="396"/>
      <c r="D201" s="382"/>
      <c r="E201" s="397"/>
      <c r="F201" s="397"/>
      <c r="G201" s="397"/>
      <c r="H201" s="397"/>
      <c r="I201" s="397"/>
      <c r="J201" s="397"/>
    </row>
    <row r="202" spans="1:10" ht="16.5">
      <c r="A202" s="382"/>
      <c r="B202" s="395"/>
      <c r="C202" s="396"/>
      <c r="D202" s="382"/>
      <c r="E202" s="397"/>
      <c r="F202" s="397"/>
      <c r="G202" s="397"/>
      <c r="H202" s="397"/>
      <c r="I202" s="397"/>
      <c r="J202" s="397"/>
    </row>
    <row r="203" spans="1:10" ht="16.5">
      <c r="A203" s="382"/>
      <c r="B203" s="395"/>
      <c r="C203" s="396"/>
      <c r="D203" s="382"/>
      <c r="E203" s="397"/>
      <c r="F203" s="397"/>
      <c r="G203" s="397"/>
      <c r="H203" s="397"/>
      <c r="I203" s="397"/>
      <c r="J203" s="397"/>
    </row>
    <row r="204" spans="1:10" ht="16.5">
      <c r="A204" s="382"/>
      <c r="B204" s="395"/>
      <c r="C204" s="396"/>
      <c r="D204" s="382"/>
      <c r="E204" s="397"/>
      <c r="F204" s="397"/>
      <c r="G204" s="397"/>
      <c r="H204" s="397"/>
      <c r="I204" s="397"/>
      <c r="J204" s="397"/>
    </row>
    <row r="205" spans="1:10" ht="16.5">
      <c r="A205" s="382"/>
      <c r="B205" s="395"/>
      <c r="C205" s="396"/>
      <c r="D205" s="382"/>
      <c r="E205" s="397"/>
      <c r="F205" s="397"/>
      <c r="G205" s="397"/>
      <c r="H205" s="397"/>
      <c r="I205" s="397"/>
      <c r="J205" s="397"/>
    </row>
    <row r="206" spans="1:10" ht="16.5">
      <c r="A206" s="382"/>
      <c r="B206" s="395"/>
      <c r="C206" s="396"/>
      <c r="D206" s="382"/>
      <c r="E206" s="397"/>
      <c r="F206" s="397"/>
      <c r="G206" s="397"/>
      <c r="H206" s="397"/>
      <c r="I206" s="397"/>
      <c r="J206" s="397"/>
    </row>
    <row r="207" spans="1:10" ht="16.5">
      <c r="A207" s="382"/>
      <c r="B207" s="395"/>
      <c r="C207" s="396"/>
      <c r="D207" s="382"/>
      <c r="E207" s="397"/>
      <c r="F207" s="397"/>
      <c r="G207" s="397"/>
      <c r="H207" s="397"/>
      <c r="I207" s="397"/>
      <c r="J207" s="397"/>
    </row>
    <row r="208" spans="1:10" ht="16.5">
      <c r="A208" s="382"/>
      <c r="B208" s="395"/>
      <c r="C208" s="396"/>
      <c r="D208" s="382"/>
      <c r="E208" s="397"/>
      <c r="F208" s="397"/>
      <c r="G208" s="397"/>
      <c r="H208" s="397"/>
      <c r="I208" s="397"/>
      <c r="J208" s="397"/>
    </row>
    <row r="209" spans="1:10" ht="16.5">
      <c r="A209" s="382"/>
      <c r="B209" s="395"/>
      <c r="C209" s="396"/>
      <c r="D209" s="382"/>
      <c r="E209" s="397"/>
      <c r="F209" s="397"/>
      <c r="G209" s="397"/>
      <c r="H209" s="397"/>
      <c r="I209" s="397"/>
      <c r="J209" s="397"/>
    </row>
    <row r="210" spans="1:10" ht="16.5">
      <c r="A210" s="382"/>
      <c r="B210" s="395"/>
      <c r="C210" s="396"/>
      <c r="D210" s="382"/>
      <c r="E210" s="397"/>
      <c r="F210" s="397"/>
      <c r="G210" s="397"/>
      <c r="H210" s="397"/>
      <c r="I210" s="397"/>
      <c r="J210" s="397"/>
    </row>
    <row r="211" spans="1:10" ht="16.5">
      <c r="A211" s="382"/>
      <c r="B211" s="395"/>
      <c r="C211" s="396"/>
      <c r="D211" s="382"/>
      <c r="E211" s="397"/>
      <c r="F211" s="397"/>
      <c r="G211" s="397"/>
      <c r="H211" s="397"/>
      <c r="I211" s="397"/>
      <c r="J211" s="397"/>
    </row>
    <row r="212" spans="1:10" ht="16.5">
      <c r="A212" s="382"/>
      <c r="B212" s="395"/>
      <c r="C212" s="396"/>
      <c r="D212" s="382"/>
      <c r="E212" s="397"/>
      <c r="F212" s="397"/>
      <c r="G212" s="397"/>
      <c r="H212" s="397"/>
      <c r="I212" s="397"/>
      <c r="J212" s="397"/>
    </row>
    <row r="213" spans="1:10" ht="16.5">
      <c r="A213" s="382"/>
      <c r="B213" s="395"/>
      <c r="C213" s="396"/>
      <c r="D213" s="382"/>
      <c r="E213" s="397"/>
      <c r="F213" s="397"/>
      <c r="G213" s="397"/>
      <c r="H213" s="397"/>
      <c r="I213" s="397"/>
      <c r="J213" s="397"/>
    </row>
    <row r="214" spans="1:10" ht="16.5">
      <c r="A214" s="382"/>
      <c r="B214" s="395"/>
      <c r="C214" s="396"/>
      <c r="D214" s="382"/>
      <c r="E214" s="397"/>
      <c r="F214" s="397"/>
      <c r="G214" s="397"/>
      <c r="H214" s="397"/>
      <c r="I214" s="397"/>
      <c r="J214" s="397"/>
    </row>
    <row r="215" spans="1:10" ht="16.5">
      <c r="A215" s="382"/>
      <c r="B215" s="395"/>
      <c r="C215" s="396"/>
      <c r="D215" s="382"/>
      <c r="E215" s="397"/>
      <c r="F215" s="397"/>
      <c r="G215" s="397"/>
      <c r="H215" s="397"/>
      <c r="I215" s="397"/>
      <c r="J215" s="397"/>
    </row>
    <row r="216" spans="1:10" ht="16.5">
      <c r="A216" s="382"/>
      <c r="B216" s="395"/>
      <c r="C216" s="396"/>
      <c r="D216" s="382"/>
      <c r="E216" s="397"/>
      <c r="F216" s="397"/>
      <c r="G216" s="397"/>
      <c r="H216" s="397"/>
      <c r="I216" s="397"/>
      <c r="J216" s="397"/>
    </row>
    <row r="217" spans="1:10" ht="16.5">
      <c r="A217" s="382"/>
      <c r="B217" s="395"/>
      <c r="C217" s="396"/>
      <c r="D217" s="382"/>
      <c r="E217" s="397"/>
      <c r="F217" s="397"/>
      <c r="G217" s="397"/>
      <c r="H217" s="397"/>
      <c r="I217" s="397"/>
      <c r="J217" s="397"/>
    </row>
    <row r="218" spans="1:10" ht="16.5">
      <c r="A218" s="382"/>
      <c r="B218" s="395"/>
      <c r="C218" s="396"/>
      <c r="D218" s="382"/>
      <c r="E218" s="397"/>
      <c r="F218" s="397"/>
      <c r="G218" s="397"/>
      <c r="H218" s="397"/>
      <c r="I218" s="397"/>
      <c r="J218" s="397"/>
    </row>
    <row r="219" spans="1:10" ht="16.5">
      <c r="A219" s="382"/>
      <c r="B219" s="395"/>
      <c r="C219" s="396"/>
      <c r="D219" s="382"/>
      <c r="E219" s="397"/>
      <c r="F219" s="397"/>
      <c r="G219" s="397"/>
      <c r="H219" s="397"/>
      <c r="I219" s="397"/>
      <c r="J219" s="397"/>
    </row>
    <row r="220" spans="1:10" ht="16.5">
      <c r="A220" s="382"/>
      <c r="B220" s="395"/>
      <c r="C220" s="396"/>
      <c r="D220" s="382"/>
      <c r="E220" s="397"/>
      <c r="F220" s="397"/>
      <c r="G220" s="397"/>
      <c r="H220" s="397"/>
      <c r="I220" s="397"/>
      <c r="J220" s="397"/>
    </row>
    <row r="221" spans="1:10" ht="16.5">
      <c r="A221" s="382"/>
      <c r="B221" s="395"/>
      <c r="C221" s="396"/>
      <c r="D221" s="382"/>
      <c r="E221" s="397"/>
      <c r="F221" s="397"/>
      <c r="G221" s="397"/>
      <c r="H221" s="397"/>
      <c r="I221" s="397"/>
      <c r="J221" s="397"/>
    </row>
    <row r="222" spans="1:10" ht="16.5">
      <c r="A222" s="382"/>
      <c r="B222" s="395"/>
      <c r="C222" s="396"/>
      <c r="D222" s="382"/>
      <c r="E222" s="397"/>
      <c r="F222" s="397"/>
      <c r="G222" s="397"/>
      <c r="H222" s="397"/>
      <c r="I222" s="397"/>
      <c r="J222" s="397"/>
    </row>
    <row r="223" spans="1:10" ht="16.5">
      <c r="A223" s="382"/>
      <c r="B223" s="395"/>
      <c r="C223" s="396"/>
      <c r="D223" s="382"/>
      <c r="E223" s="397"/>
      <c r="F223" s="397"/>
      <c r="G223" s="397"/>
      <c r="H223" s="397"/>
      <c r="I223" s="397"/>
      <c r="J223" s="397"/>
    </row>
    <row r="224" spans="1:10" ht="16.5">
      <c r="A224" s="382"/>
      <c r="B224" s="395"/>
      <c r="C224" s="396"/>
      <c r="D224" s="382"/>
      <c r="E224" s="397"/>
      <c r="F224" s="397"/>
      <c r="G224" s="397"/>
      <c r="H224" s="397"/>
      <c r="I224" s="397"/>
      <c r="J224" s="397"/>
    </row>
    <row r="225" spans="1:10" ht="16.5">
      <c r="A225" s="382"/>
      <c r="B225" s="395"/>
      <c r="C225" s="396"/>
      <c r="D225" s="382"/>
      <c r="E225" s="397"/>
      <c r="F225" s="397"/>
      <c r="G225" s="397"/>
      <c r="H225" s="397"/>
      <c r="I225" s="397"/>
      <c r="J225" s="397"/>
    </row>
    <row r="226" spans="1:10" ht="16.5">
      <c r="A226" s="382"/>
      <c r="B226" s="395"/>
      <c r="C226" s="396"/>
      <c r="D226" s="382"/>
      <c r="E226" s="397"/>
      <c r="F226" s="397"/>
      <c r="G226" s="397"/>
      <c r="H226" s="397"/>
      <c r="I226" s="397"/>
      <c r="J226" s="397"/>
    </row>
    <row r="227" spans="1:10" ht="16.5">
      <c r="A227" s="382"/>
      <c r="B227" s="395"/>
      <c r="C227" s="396"/>
      <c r="D227" s="382"/>
      <c r="E227" s="397"/>
      <c r="F227" s="397"/>
      <c r="G227" s="397"/>
      <c r="H227" s="397"/>
      <c r="I227" s="397"/>
      <c r="J227" s="397"/>
    </row>
    <row r="228" spans="1:10" ht="16.5">
      <c r="A228" s="382"/>
      <c r="B228" s="395"/>
      <c r="C228" s="396"/>
      <c r="D228" s="382"/>
      <c r="E228" s="397"/>
      <c r="F228" s="397"/>
      <c r="G228" s="397"/>
      <c r="H228" s="397"/>
      <c r="I228" s="397"/>
      <c r="J228" s="397"/>
    </row>
    <row r="229" spans="1:10" ht="16.5">
      <c r="A229" s="382"/>
      <c r="B229" s="395"/>
      <c r="C229" s="396"/>
      <c r="D229" s="382"/>
      <c r="E229" s="397"/>
      <c r="F229" s="397"/>
      <c r="G229" s="397"/>
      <c r="H229" s="397"/>
      <c r="I229" s="397"/>
      <c r="J229" s="397"/>
    </row>
    <row r="230" spans="1:10" ht="16.5">
      <c r="A230" s="382"/>
      <c r="B230" s="395"/>
      <c r="C230" s="396"/>
      <c r="D230" s="382"/>
      <c r="E230" s="397"/>
      <c r="F230" s="397"/>
      <c r="G230" s="397"/>
      <c r="H230" s="397"/>
      <c r="I230" s="397"/>
      <c r="J230" s="397"/>
    </row>
    <row r="231" spans="1:10" ht="16.5">
      <c r="A231" s="382"/>
      <c r="B231" s="395"/>
      <c r="C231" s="396"/>
      <c r="D231" s="382"/>
      <c r="E231" s="397"/>
      <c r="F231" s="397"/>
      <c r="G231" s="397"/>
      <c r="H231" s="397"/>
      <c r="I231" s="397"/>
      <c r="J231" s="397"/>
    </row>
    <row r="232" spans="1:10" ht="16.5">
      <c r="A232" s="382"/>
      <c r="B232" s="395"/>
      <c r="C232" s="396"/>
      <c r="D232" s="382"/>
      <c r="E232" s="397"/>
      <c r="F232" s="397"/>
      <c r="G232" s="397"/>
      <c r="H232" s="397"/>
      <c r="I232" s="397"/>
      <c r="J232" s="397"/>
    </row>
    <row r="233" spans="1:10" ht="16.5">
      <c r="A233" s="382"/>
      <c r="B233" s="395"/>
      <c r="C233" s="396"/>
      <c r="D233" s="382"/>
      <c r="E233" s="397"/>
      <c r="F233" s="397"/>
      <c r="G233" s="397"/>
      <c r="H233" s="397"/>
      <c r="I233" s="397"/>
      <c r="J233" s="397"/>
    </row>
    <row r="234" spans="1:10" ht="16.5">
      <c r="A234" s="382"/>
      <c r="B234" s="395"/>
      <c r="C234" s="396"/>
      <c r="D234" s="382"/>
      <c r="E234" s="397"/>
      <c r="F234" s="397"/>
      <c r="G234" s="397"/>
      <c r="H234" s="397"/>
      <c r="I234" s="397"/>
      <c r="J234" s="397"/>
    </row>
    <row r="235" spans="1:10" ht="16.5">
      <c r="A235" s="382"/>
      <c r="B235" s="395"/>
      <c r="C235" s="396"/>
      <c r="D235" s="382"/>
      <c r="E235" s="397"/>
      <c r="F235" s="397"/>
      <c r="G235" s="397"/>
      <c r="H235" s="397"/>
      <c r="I235" s="397"/>
      <c r="J235" s="397"/>
    </row>
    <row r="236" spans="1:10" ht="16.5">
      <c r="A236" s="382"/>
      <c r="B236" s="395"/>
      <c r="C236" s="396"/>
      <c r="D236" s="382"/>
      <c r="E236" s="397"/>
      <c r="F236" s="397"/>
      <c r="G236" s="397"/>
      <c r="H236" s="397"/>
      <c r="I236" s="397"/>
      <c r="J236" s="397"/>
    </row>
    <row r="237" spans="1:10" ht="16.5">
      <c r="A237" s="382"/>
      <c r="B237" s="395"/>
      <c r="C237" s="396"/>
      <c r="D237" s="382"/>
      <c r="E237" s="397"/>
      <c r="F237" s="397"/>
      <c r="G237" s="397"/>
      <c r="H237" s="397"/>
      <c r="I237" s="397"/>
      <c r="J237" s="397"/>
    </row>
    <row r="238" spans="1:10" ht="16.5">
      <c r="A238" s="382"/>
      <c r="B238" s="395"/>
      <c r="C238" s="396"/>
      <c r="D238" s="382"/>
      <c r="E238" s="397"/>
      <c r="F238" s="397"/>
      <c r="G238" s="397"/>
      <c r="H238" s="397"/>
      <c r="I238" s="397"/>
      <c r="J238" s="397"/>
    </row>
    <row r="239" spans="1:10" ht="16.5">
      <c r="A239" s="382"/>
      <c r="B239" s="395"/>
      <c r="C239" s="396"/>
      <c r="D239" s="382"/>
      <c r="E239" s="397"/>
      <c r="F239" s="397"/>
      <c r="G239" s="397"/>
      <c r="H239" s="397"/>
      <c r="I239" s="397"/>
      <c r="J239" s="397"/>
    </row>
    <row r="240" spans="1:10" ht="16.5">
      <c r="A240" s="382"/>
      <c r="B240" s="395"/>
      <c r="C240" s="396"/>
      <c r="D240" s="382"/>
      <c r="E240" s="397"/>
      <c r="F240" s="397"/>
      <c r="G240" s="397"/>
      <c r="H240" s="397"/>
      <c r="I240" s="397"/>
      <c r="J240" s="397"/>
    </row>
    <row r="241" spans="1:10" ht="16.5">
      <c r="A241" s="382"/>
      <c r="B241" s="395"/>
      <c r="C241" s="396"/>
      <c r="D241" s="382"/>
      <c r="E241" s="397"/>
      <c r="F241" s="397"/>
      <c r="G241" s="397"/>
      <c r="H241" s="397"/>
      <c r="I241" s="397"/>
      <c r="J241" s="397"/>
    </row>
    <row r="242" spans="1:10" ht="16.5">
      <c r="A242" s="382"/>
      <c r="B242" s="395"/>
      <c r="C242" s="396"/>
      <c r="D242" s="382"/>
      <c r="E242" s="397"/>
      <c r="F242" s="397"/>
      <c r="G242" s="397"/>
      <c r="H242" s="397"/>
      <c r="I242" s="397"/>
      <c r="J242" s="397"/>
    </row>
    <row r="243" spans="1:10" ht="16.5">
      <c r="A243" s="382"/>
      <c r="B243" s="395"/>
      <c r="C243" s="396"/>
      <c r="D243" s="382"/>
      <c r="E243" s="397"/>
      <c r="F243" s="397"/>
      <c r="G243" s="397"/>
      <c r="H243" s="397"/>
      <c r="I243" s="397"/>
      <c r="J243" s="397"/>
    </row>
    <row r="244" spans="1:10" ht="16.5">
      <c r="A244" s="382"/>
      <c r="B244" s="395"/>
      <c r="C244" s="396"/>
      <c r="D244" s="382"/>
      <c r="E244" s="397"/>
      <c r="F244" s="397"/>
      <c r="G244" s="397"/>
      <c r="H244" s="397"/>
      <c r="I244" s="397"/>
      <c r="J244" s="397"/>
    </row>
    <row r="245" spans="1:10" ht="16.5">
      <c r="A245" s="382"/>
      <c r="B245" s="395"/>
      <c r="C245" s="396"/>
      <c r="D245" s="382"/>
      <c r="E245" s="397"/>
      <c r="F245" s="397"/>
      <c r="G245" s="397"/>
      <c r="H245" s="397"/>
      <c r="I245" s="397"/>
      <c r="J245" s="397"/>
    </row>
    <row r="246" spans="1:10" ht="16.5">
      <c r="A246" s="382"/>
      <c r="B246" s="395"/>
      <c r="C246" s="396"/>
      <c r="D246" s="382"/>
      <c r="E246" s="397"/>
      <c r="F246" s="397"/>
      <c r="G246" s="397"/>
      <c r="H246" s="397"/>
      <c r="I246" s="397"/>
      <c r="J246" s="397"/>
    </row>
    <row r="247" spans="1:10" ht="16.5">
      <c r="A247" s="382"/>
      <c r="B247" s="395"/>
      <c r="C247" s="396"/>
      <c r="D247" s="382"/>
      <c r="E247" s="397"/>
      <c r="F247" s="397"/>
      <c r="G247" s="397"/>
      <c r="H247" s="397"/>
      <c r="I247" s="397"/>
      <c r="J247" s="397"/>
    </row>
    <row r="248" spans="1:10" ht="16.5">
      <c r="A248" s="382"/>
      <c r="B248" s="395"/>
      <c r="C248" s="396"/>
      <c r="D248" s="382"/>
      <c r="E248" s="397"/>
      <c r="F248" s="397"/>
      <c r="G248" s="397"/>
      <c r="H248" s="397"/>
      <c r="I248" s="397"/>
      <c r="J248" s="397"/>
    </row>
    <row r="249" spans="1:10" ht="16.5">
      <c r="A249" s="382"/>
      <c r="B249" s="395"/>
      <c r="C249" s="396"/>
      <c r="D249" s="382"/>
      <c r="E249" s="397"/>
      <c r="F249" s="397"/>
      <c r="G249" s="397"/>
      <c r="H249" s="397"/>
      <c r="I249" s="397"/>
      <c r="J249" s="397"/>
    </row>
    <row r="250" spans="1:10" ht="16.5">
      <c r="A250" s="382"/>
      <c r="B250" s="395"/>
      <c r="C250" s="396"/>
      <c r="D250" s="382"/>
      <c r="E250" s="397"/>
      <c r="F250" s="397"/>
      <c r="G250" s="397"/>
      <c r="H250" s="397"/>
      <c r="I250" s="397"/>
      <c r="J250" s="397"/>
    </row>
    <row r="251" spans="1:10" ht="16.5">
      <c r="A251" s="382"/>
      <c r="B251" s="395"/>
      <c r="C251" s="396"/>
      <c r="D251" s="382"/>
      <c r="E251" s="397"/>
      <c r="F251" s="397"/>
      <c r="G251" s="397"/>
      <c r="H251" s="397"/>
      <c r="I251" s="397"/>
      <c r="J251" s="397"/>
    </row>
    <row r="252" spans="1:10" ht="16.5">
      <c r="A252" s="382"/>
      <c r="B252" s="395"/>
      <c r="C252" s="396"/>
      <c r="D252" s="382"/>
      <c r="E252" s="397"/>
      <c r="F252" s="397"/>
      <c r="G252" s="397"/>
      <c r="H252" s="397"/>
      <c r="I252" s="397"/>
      <c r="J252" s="397"/>
    </row>
    <row r="253" spans="1:10" ht="16.5">
      <c r="A253" s="382"/>
      <c r="B253" s="395"/>
      <c r="C253" s="396"/>
      <c r="D253" s="382"/>
      <c r="E253" s="397"/>
      <c r="F253" s="397"/>
      <c r="G253" s="397"/>
      <c r="H253" s="397"/>
      <c r="I253" s="397"/>
      <c r="J253" s="397"/>
    </row>
    <row r="254" spans="1:10" ht="16.5">
      <c r="A254" s="382"/>
      <c r="B254" s="395"/>
      <c r="C254" s="396"/>
      <c r="D254" s="382"/>
      <c r="E254" s="397"/>
      <c r="F254" s="397"/>
      <c r="G254" s="397"/>
      <c r="H254" s="397"/>
      <c r="I254" s="397"/>
      <c r="J254" s="397"/>
    </row>
    <row r="255" spans="1:10" ht="16.5">
      <c r="A255" s="382"/>
      <c r="B255" s="395"/>
      <c r="C255" s="396"/>
      <c r="D255" s="382"/>
      <c r="E255" s="397"/>
      <c r="F255" s="397"/>
      <c r="G255" s="397"/>
      <c r="H255" s="397"/>
      <c r="I255" s="397"/>
      <c r="J255" s="397"/>
    </row>
    <row r="256" spans="1:10" ht="16.5">
      <c r="A256" s="382"/>
      <c r="B256" s="395"/>
      <c r="C256" s="396"/>
      <c r="D256" s="382"/>
      <c r="E256" s="397"/>
      <c r="F256" s="397"/>
      <c r="G256" s="397"/>
      <c r="H256" s="397"/>
      <c r="I256" s="397"/>
      <c r="J256" s="397"/>
    </row>
    <row r="257" spans="1:10" ht="16.5">
      <c r="A257" s="382"/>
      <c r="B257" s="395"/>
      <c r="C257" s="396"/>
      <c r="D257" s="382"/>
      <c r="E257" s="397"/>
      <c r="F257" s="397"/>
      <c r="G257" s="397"/>
      <c r="H257" s="397"/>
      <c r="I257" s="397"/>
      <c r="J257" s="397"/>
    </row>
    <row r="258" spans="1:10" ht="16.5">
      <c r="A258" s="382"/>
      <c r="B258" s="395"/>
      <c r="C258" s="396"/>
      <c r="D258" s="382"/>
      <c r="E258" s="397"/>
      <c r="F258" s="397"/>
      <c r="G258" s="397"/>
      <c r="H258" s="397"/>
      <c r="I258" s="397"/>
      <c r="J258" s="397"/>
    </row>
  </sheetData>
  <sheetProtection/>
  <mergeCells count="4">
    <mergeCell ref="A3:J3"/>
    <mergeCell ref="A4:J4"/>
    <mergeCell ref="B2:J2"/>
    <mergeCell ref="B28:D28"/>
  </mergeCells>
  <printOptions horizontalCentered="1"/>
  <pageMargins left="0" right="0" top="0.5905511811023623" bottom="0.5905511811023623" header="0.5118110236220472" footer="0.2755905511811024"/>
  <pageSetup fitToHeight="0" fitToWidth="1" horizontalDpi="600" verticalDpi="600" orientation="landscape" paperSize="9" scale="84" r:id="rId1"/>
  <headerFooter alignWithMargins="0">
    <oddFooter>&amp;R&amp;"Times New Roman,Regular"&amp;12&amp;P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34"/>
  <sheetViews>
    <sheetView zoomScalePageLayoutView="0" workbookViewId="0" topLeftCell="A7">
      <selection activeCell="A4" sqref="A4:P4"/>
    </sheetView>
  </sheetViews>
  <sheetFormatPr defaultColWidth="9.140625" defaultRowHeight="12.75"/>
  <cols>
    <col min="1" max="1" width="4.57421875" style="0" customWidth="1"/>
    <col min="2" max="2" width="38.8515625" style="667" customWidth="1"/>
    <col min="3" max="3" width="13.140625" style="668" customWidth="1"/>
    <col min="4" max="4" width="12.8515625" style="0" customWidth="1"/>
    <col min="5" max="8" width="10.57421875" style="0" customWidth="1"/>
    <col min="9" max="9" width="10.28125" style="0" customWidth="1"/>
    <col min="10" max="10" width="14.00390625" style="0" customWidth="1"/>
    <col min="11" max="11" width="2.00390625" style="0" customWidth="1"/>
  </cols>
  <sheetData>
    <row r="1" spans="2:10" s="331" customFormat="1" ht="26.25" customHeight="1">
      <c r="B1" s="347"/>
      <c r="C1" s="348"/>
      <c r="D1" s="348"/>
      <c r="H1" s="365" t="s">
        <v>702</v>
      </c>
      <c r="I1" s="1796" t="s">
        <v>704</v>
      </c>
      <c r="J1" s="1796"/>
    </row>
    <row r="2" spans="2:10" s="331" customFormat="1" ht="26.25" customHeight="1">
      <c r="B2" s="1769" t="s">
        <v>476</v>
      </c>
      <c r="C2" s="1769"/>
      <c r="D2" s="1769"/>
      <c r="E2" s="1769"/>
      <c r="F2" s="1769"/>
      <c r="G2" s="1769"/>
      <c r="H2" s="1769"/>
      <c r="I2" s="1769"/>
      <c r="J2" s="1769"/>
    </row>
    <row r="3" spans="1:10" s="331" customFormat="1" ht="21.75" customHeight="1">
      <c r="A3" s="1765" t="s">
        <v>713</v>
      </c>
      <c r="B3" s="1765"/>
      <c r="C3" s="1765"/>
      <c r="D3" s="1765"/>
      <c r="E3" s="1765"/>
      <c r="F3" s="1765"/>
      <c r="G3" s="1765"/>
      <c r="H3" s="1765"/>
      <c r="I3" s="1765"/>
      <c r="J3" s="1765"/>
    </row>
    <row r="4" spans="1:10" s="331" customFormat="1" ht="36" customHeight="1">
      <c r="A4" s="1765" t="s">
        <v>714</v>
      </c>
      <c r="B4" s="1765"/>
      <c r="C4" s="1765"/>
      <c r="D4" s="1765"/>
      <c r="E4" s="1765"/>
      <c r="F4" s="1765"/>
      <c r="G4" s="1765"/>
      <c r="H4" s="1765"/>
      <c r="I4" s="1765"/>
      <c r="J4" s="1765"/>
    </row>
    <row r="5" spans="1:10" s="669" customFormat="1" ht="46.5" customHeight="1">
      <c r="A5" s="686"/>
      <c r="B5" s="406" t="s">
        <v>211</v>
      </c>
      <c r="C5" s="406" t="s">
        <v>104</v>
      </c>
      <c r="D5" s="383" t="s">
        <v>694</v>
      </c>
      <c r="E5" s="383" t="s">
        <v>695</v>
      </c>
      <c r="F5" s="383" t="s">
        <v>696</v>
      </c>
      <c r="G5" s="383" t="s">
        <v>697</v>
      </c>
      <c r="H5" s="383" t="s">
        <v>698</v>
      </c>
      <c r="I5" s="383" t="s">
        <v>699</v>
      </c>
      <c r="J5" s="383" t="s">
        <v>700</v>
      </c>
    </row>
    <row r="6" spans="1:10" s="673" customFormat="1" ht="24" customHeight="1">
      <c r="A6" s="674" t="s">
        <v>29</v>
      </c>
      <c r="B6" s="384" t="s">
        <v>245</v>
      </c>
      <c r="C6" s="670"/>
      <c r="D6" s="665"/>
      <c r="E6" s="665"/>
      <c r="F6" s="665"/>
      <c r="G6" s="665"/>
      <c r="H6" s="665"/>
      <c r="I6" s="665"/>
      <c r="J6" s="665"/>
    </row>
    <row r="7" spans="1:10" s="638" customFormat="1" ht="24" customHeight="1">
      <c r="A7" s="656"/>
      <c r="B7" s="664" t="s">
        <v>664</v>
      </c>
      <c r="C7" s="660" t="s">
        <v>662</v>
      </c>
      <c r="D7" s="850">
        <f>'[5]BM7 R'!K8</f>
        <v>0.313</v>
      </c>
      <c r="E7" s="935">
        <v>0.4</v>
      </c>
      <c r="F7" s="935">
        <v>0.4</v>
      </c>
      <c r="G7" s="935">
        <v>0.45</v>
      </c>
      <c r="H7" s="935">
        <v>0.47</v>
      </c>
      <c r="I7" s="935">
        <v>0.48</v>
      </c>
      <c r="J7" s="936">
        <f>SUM(E7:I7)/5</f>
        <v>0.44000000000000006</v>
      </c>
    </row>
    <row r="8" spans="1:10" s="638" customFormat="1" ht="24" customHeight="1">
      <c r="A8" s="656"/>
      <c r="B8" s="664" t="s">
        <v>665</v>
      </c>
      <c r="C8" s="660" t="s">
        <v>662</v>
      </c>
      <c r="D8" s="850">
        <f>'[5]BM7 R'!K9</f>
        <v>3.48</v>
      </c>
      <c r="E8" s="936">
        <v>3.7</v>
      </c>
      <c r="F8" s="936">
        <v>3.75</v>
      </c>
      <c r="G8" s="936">
        <v>3.8</v>
      </c>
      <c r="H8" s="936">
        <v>3.85</v>
      </c>
      <c r="I8" s="936">
        <v>3.9</v>
      </c>
      <c r="J8" s="936">
        <f>SUM(E8:I8)/5</f>
        <v>3.8</v>
      </c>
    </row>
    <row r="9" spans="1:10" s="638" customFormat="1" ht="24" customHeight="1">
      <c r="A9" s="656"/>
      <c r="B9" s="664" t="s">
        <v>666</v>
      </c>
      <c r="C9" s="660" t="s">
        <v>662</v>
      </c>
      <c r="D9" s="850">
        <f>'[5]BM7 R'!K10</f>
        <v>7.795</v>
      </c>
      <c r="E9" s="936">
        <v>7.8</v>
      </c>
      <c r="F9" s="936">
        <v>7.8</v>
      </c>
      <c r="G9" s="936">
        <v>7.8</v>
      </c>
      <c r="H9" s="936">
        <v>7.85</v>
      </c>
      <c r="I9" s="936">
        <v>7.9</v>
      </c>
      <c r="J9" s="936">
        <f>SUM(E9:I9)/5</f>
        <v>7.83</v>
      </c>
    </row>
    <row r="10" spans="1:10" s="638" customFormat="1" ht="24" customHeight="1">
      <c r="A10" s="656"/>
      <c r="B10" s="664" t="s">
        <v>667</v>
      </c>
      <c r="C10" s="660" t="s">
        <v>662</v>
      </c>
      <c r="D10" s="850">
        <f>'[5]BM7 R'!K11</f>
        <v>4.67</v>
      </c>
      <c r="E10" s="936">
        <v>4.7</v>
      </c>
      <c r="F10" s="936">
        <v>4.7</v>
      </c>
      <c r="G10" s="936">
        <v>4.75</v>
      </c>
      <c r="H10" s="936">
        <v>4.75</v>
      </c>
      <c r="I10" s="936">
        <v>4.8</v>
      </c>
      <c r="J10" s="936">
        <f>SUM(E10:I10)/5</f>
        <v>4.74</v>
      </c>
    </row>
    <row r="11" spans="1:10" s="638" customFormat="1" ht="24" customHeight="1">
      <c r="A11" s="656"/>
      <c r="B11" s="664" t="s">
        <v>668</v>
      </c>
      <c r="C11" s="660" t="s">
        <v>662</v>
      </c>
      <c r="D11" s="850">
        <f>'[5]BM7 R'!K12</f>
        <v>2.2</v>
      </c>
      <c r="E11" s="936">
        <v>2.3</v>
      </c>
      <c r="F11" s="936">
        <v>2.3</v>
      </c>
      <c r="G11" s="936">
        <v>2.4</v>
      </c>
      <c r="H11" s="936">
        <v>2.4</v>
      </c>
      <c r="I11" s="936">
        <v>2.5</v>
      </c>
      <c r="J11" s="936">
        <f>SUM(E11:I11)/5</f>
        <v>2.38</v>
      </c>
    </row>
    <row r="12" spans="1:10" s="638" customFormat="1" ht="24" customHeight="1">
      <c r="A12" s="656"/>
      <c r="B12" s="662" t="s">
        <v>675</v>
      </c>
      <c r="C12" s="660" t="s">
        <v>650</v>
      </c>
      <c r="D12" s="851">
        <f>'[5]BM7 R'!K13</f>
        <v>12</v>
      </c>
      <c r="E12" s="852">
        <v>12</v>
      </c>
      <c r="F12" s="848">
        <v>12</v>
      </c>
      <c r="G12" s="848">
        <v>13</v>
      </c>
      <c r="H12" s="848">
        <v>13</v>
      </c>
      <c r="I12" s="848">
        <v>13</v>
      </c>
      <c r="J12" s="853">
        <v>13</v>
      </c>
    </row>
    <row r="13" spans="1:10" s="638" customFormat="1" ht="24" customHeight="1">
      <c r="A13" s="656"/>
      <c r="B13" s="664" t="s">
        <v>671</v>
      </c>
      <c r="C13" s="660" t="s">
        <v>6</v>
      </c>
      <c r="D13" s="851">
        <f>'[5]BM7 R'!K14</f>
        <v>96</v>
      </c>
      <c r="E13" s="852">
        <v>96</v>
      </c>
      <c r="F13" s="848">
        <v>96</v>
      </c>
      <c r="G13" s="848">
        <v>96</v>
      </c>
      <c r="H13" s="848">
        <v>96</v>
      </c>
      <c r="I13" s="848">
        <v>97</v>
      </c>
      <c r="J13" s="853">
        <f>SUM(E13:I13)/5</f>
        <v>96.2</v>
      </c>
    </row>
    <row r="14" spans="1:10" s="638" customFormat="1" ht="24" customHeight="1">
      <c r="A14" s="656"/>
      <c r="B14" s="664" t="s">
        <v>661</v>
      </c>
      <c r="C14" s="660" t="s">
        <v>6</v>
      </c>
      <c r="D14" s="851">
        <f>'[5]BM7 R'!K15</f>
        <v>42.5531914893617</v>
      </c>
      <c r="E14" s="852">
        <v>44.2</v>
      </c>
      <c r="F14" s="848">
        <v>46.5</v>
      </c>
      <c r="G14" s="848">
        <v>48.8</v>
      </c>
      <c r="H14" s="848">
        <v>50</v>
      </c>
      <c r="I14" s="848">
        <v>50</v>
      </c>
      <c r="J14" s="853">
        <f>SUM(E14:I14)/5</f>
        <v>47.9</v>
      </c>
    </row>
    <row r="15" spans="1:10" s="638" customFormat="1" ht="32.25" customHeight="1">
      <c r="A15" s="656"/>
      <c r="B15" s="662" t="s">
        <v>676</v>
      </c>
      <c r="C15" s="663" t="s">
        <v>6</v>
      </c>
      <c r="D15" s="851">
        <f>'[5]BM7 R'!K16</f>
        <v>86</v>
      </c>
      <c r="E15" s="852">
        <v>87</v>
      </c>
      <c r="F15" s="848">
        <v>88</v>
      </c>
      <c r="G15" s="848">
        <v>89</v>
      </c>
      <c r="H15" s="848">
        <v>90</v>
      </c>
      <c r="I15" s="848">
        <v>91</v>
      </c>
      <c r="J15" s="853">
        <f>I15</f>
        <v>91</v>
      </c>
    </row>
    <row r="16" spans="1:10" s="638" customFormat="1" ht="33.75" customHeight="1">
      <c r="A16" s="656"/>
      <c r="B16" s="662" t="s">
        <v>942</v>
      </c>
      <c r="C16" s="663" t="s">
        <v>6</v>
      </c>
      <c r="D16" s="851">
        <f>'[5]BM7 R'!K17</f>
        <v>98</v>
      </c>
      <c r="E16" s="852">
        <v>98</v>
      </c>
      <c r="F16" s="848">
        <v>98</v>
      </c>
      <c r="G16" s="848">
        <v>98</v>
      </c>
      <c r="H16" s="848">
        <v>98</v>
      </c>
      <c r="I16" s="848">
        <v>98</v>
      </c>
      <c r="J16" s="854">
        <f>I16</f>
        <v>98</v>
      </c>
    </row>
    <row r="17" spans="1:10" s="638" customFormat="1" ht="33" customHeight="1" hidden="1">
      <c r="A17" s="656"/>
      <c r="B17" s="662" t="s">
        <v>943</v>
      </c>
      <c r="C17" s="663"/>
      <c r="D17" s="851"/>
      <c r="E17" s="852"/>
      <c r="F17" s="848"/>
      <c r="G17" s="848"/>
      <c r="H17" s="848"/>
      <c r="I17" s="848"/>
      <c r="J17" s="854"/>
    </row>
    <row r="18" spans="1:10" s="638" customFormat="1" ht="24" customHeight="1">
      <c r="A18" s="656" t="s">
        <v>30</v>
      </c>
      <c r="B18" s="957" t="s">
        <v>247</v>
      </c>
      <c r="C18" s="660"/>
      <c r="D18" s="958"/>
      <c r="E18" s="959"/>
      <c r="F18" s="960"/>
      <c r="G18" s="961"/>
      <c r="H18" s="961"/>
      <c r="I18" s="961"/>
      <c r="J18" s="962"/>
    </row>
    <row r="19" spans="1:10" s="638" customFormat="1" ht="24" customHeight="1">
      <c r="A19" s="656"/>
      <c r="B19" s="664" t="s">
        <v>669</v>
      </c>
      <c r="C19" s="660" t="s">
        <v>654</v>
      </c>
      <c r="D19" s="954">
        <f>'[5]BM7 R'!$K$19</f>
        <v>1</v>
      </c>
      <c r="E19" s="956">
        <v>3</v>
      </c>
      <c r="F19" s="954">
        <v>2</v>
      </c>
      <c r="G19" s="954">
        <v>2</v>
      </c>
      <c r="H19" s="954">
        <v>1</v>
      </c>
      <c r="I19" s="954">
        <v>1</v>
      </c>
      <c r="J19" s="955">
        <v>9</v>
      </c>
    </row>
    <row r="20" spans="1:10" s="965" customFormat="1" ht="24" customHeight="1">
      <c r="A20" s="964"/>
      <c r="B20" s="664" t="s">
        <v>670</v>
      </c>
      <c r="C20" s="660" t="s">
        <v>654</v>
      </c>
      <c r="D20" s="954"/>
      <c r="E20" s="954"/>
      <c r="F20" s="954"/>
      <c r="G20" s="954"/>
      <c r="H20" s="954"/>
      <c r="I20" s="954"/>
      <c r="J20" s="963"/>
    </row>
    <row r="21" spans="1:10" s="673" customFormat="1" ht="30.75" customHeight="1" hidden="1">
      <c r="A21" s="676" t="s">
        <v>41</v>
      </c>
      <c r="B21" s="384" t="s">
        <v>241</v>
      </c>
      <c r="C21" s="677"/>
      <c r="D21" s="678"/>
      <c r="E21" s="678"/>
      <c r="F21" s="678"/>
      <c r="G21" s="678"/>
      <c r="H21" s="678"/>
      <c r="I21" s="678"/>
      <c r="J21" s="849"/>
    </row>
    <row r="22" spans="1:10" s="673" customFormat="1" ht="30.75" customHeight="1" hidden="1">
      <c r="A22" s="676"/>
      <c r="B22" s="435" t="s">
        <v>294</v>
      </c>
      <c r="C22" s="394" t="s">
        <v>248</v>
      </c>
      <c r="D22" s="678"/>
      <c r="E22" s="678"/>
      <c r="F22" s="678"/>
      <c r="G22" s="678"/>
      <c r="H22" s="678"/>
      <c r="I22" s="678"/>
      <c r="J22" s="849"/>
    </row>
    <row r="23" spans="1:10" s="673" customFormat="1" ht="30.75" customHeight="1" hidden="1">
      <c r="A23" s="676"/>
      <c r="B23" s="417" t="s">
        <v>26</v>
      </c>
      <c r="C23" s="394" t="s">
        <v>213</v>
      </c>
      <c r="D23" s="678"/>
      <c r="E23" s="678"/>
      <c r="F23" s="678"/>
      <c r="G23" s="678"/>
      <c r="H23" s="678"/>
      <c r="I23" s="678"/>
      <c r="J23" s="849"/>
    </row>
    <row r="24" spans="1:10" s="673" customFormat="1" ht="30.75" customHeight="1" hidden="1">
      <c r="A24" s="676"/>
      <c r="B24" s="435" t="s">
        <v>345</v>
      </c>
      <c r="C24" s="394" t="s">
        <v>248</v>
      </c>
      <c r="D24" s="678"/>
      <c r="E24" s="678"/>
      <c r="F24" s="678"/>
      <c r="G24" s="678"/>
      <c r="H24" s="678"/>
      <c r="I24" s="678"/>
      <c r="J24" s="849"/>
    </row>
    <row r="25" spans="1:10" s="673" customFormat="1" ht="30.75" customHeight="1" hidden="1">
      <c r="A25" s="676"/>
      <c r="B25" s="417" t="s">
        <v>346</v>
      </c>
      <c r="C25" s="394" t="s">
        <v>213</v>
      </c>
      <c r="D25" s="678"/>
      <c r="E25" s="678"/>
      <c r="F25" s="678"/>
      <c r="G25" s="678"/>
      <c r="H25" s="678"/>
      <c r="I25" s="678"/>
      <c r="J25" s="849"/>
    </row>
    <row r="26" spans="1:10" s="673" customFormat="1" ht="30.75" customHeight="1" hidden="1">
      <c r="A26" s="676"/>
      <c r="B26" s="435" t="s">
        <v>295</v>
      </c>
      <c r="C26" s="394" t="s">
        <v>213</v>
      </c>
      <c r="D26" s="678"/>
      <c r="E26" s="678"/>
      <c r="F26" s="678"/>
      <c r="G26" s="678"/>
      <c r="H26" s="678"/>
      <c r="I26" s="678"/>
      <c r="J26" s="849"/>
    </row>
    <row r="27" spans="1:10" s="669" customFormat="1" ht="24" customHeight="1" hidden="1">
      <c r="A27" s="676" t="s">
        <v>41</v>
      </c>
      <c r="B27" s="384" t="s">
        <v>246</v>
      </c>
      <c r="C27" s="679"/>
      <c r="D27" s="675"/>
      <c r="E27" s="675"/>
      <c r="F27" s="675"/>
      <c r="G27" s="675"/>
      <c r="H27" s="675"/>
      <c r="I27" s="675"/>
      <c r="J27" s="675"/>
    </row>
    <row r="28" spans="1:10" s="669" customFormat="1" ht="24" customHeight="1" hidden="1">
      <c r="A28" s="675"/>
      <c r="B28" s="410" t="s">
        <v>242</v>
      </c>
      <c r="C28" s="679"/>
      <c r="D28" s="680"/>
      <c r="E28" s="680"/>
      <c r="F28" s="680"/>
      <c r="G28" s="680"/>
      <c r="H28" s="680"/>
      <c r="I28" s="680"/>
      <c r="J28" s="675"/>
    </row>
    <row r="29" spans="1:10" ht="24" customHeight="1" hidden="1">
      <c r="A29" s="94"/>
      <c r="B29" s="410" t="s">
        <v>243</v>
      </c>
      <c r="C29" s="681"/>
      <c r="D29" s="94"/>
      <c r="E29" s="682"/>
      <c r="F29" s="682"/>
      <c r="G29" s="682"/>
      <c r="H29" s="682"/>
      <c r="I29" s="682"/>
      <c r="J29" s="94"/>
    </row>
    <row r="30" spans="1:10" ht="24" customHeight="1" hidden="1">
      <c r="A30" s="94"/>
      <c r="B30" s="410" t="s">
        <v>244</v>
      </c>
      <c r="C30" s="681"/>
      <c r="D30" s="94"/>
      <c r="E30" s="683"/>
      <c r="F30" s="683"/>
      <c r="G30" s="683"/>
      <c r="H30" s="683"/>
      <c r="I30" s="683"/>
      <c r="J30" s="94"/>
    </row>
    <row r="31" spans="5:9" ht="15">
      <c r="E31" s="672"/>
      <c r="F31" s="672"/>
      <c r="G31" s="672"/>
      <c r="H31" s="672"/>
      <c r="I31" s="672"/>
    </row>
    <row r="32" spans="5:9" ht="15">
      <c r="E32" s="671"/>
      <c r="F32" s="671"/>
      <c r="G32" s="671"/>
      <c r="H32" s="671"/>
      <c r="I32" s="671"/>
    </row>
    <row r="33" spans="5:9" ht="15">
      <c r="E33" s="671"/>
      <c r="F33" s="671"/>
      <c r="G33" s="671"/>
      <c r="H33" s="671"/>
      <c r="I33" s="671"/>
    </row>
    <row r="34" ht="15">
      <c r="H34" s="672"/>
    </row>
  </sheetData>
  <sheetProtection/>
  <mergeCells count="4">
    <mergeCell ref="A4:J4"/>
    <mergeCell ref="I1:J1"/>
    <mergeCell ref="B2:J2"/>
    <mergeCell ref="A3:J3"/>
  </mergeCells>
  <printOptions horizontalCentered="1"/>
  <pageMargins left="0" right="0" top="0.5905511811023623" bottom="0.5905511811023623" header="0.5118110236220472" footer="0.3937007874015748"/>
  <pageSetup fitToHeight="0" fitToWidth="1" horizontalDpi="600" verticalDpi="600" orientation="landscape" paperSize="9" r:id="rId3"/>
  <headerFooter alignWithMargins="0">
    <oddFooter>&amp;R&amp;"Times New Roman,Regular"&amp;12&amp;P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Phu Ha</dc:creator>
  <cp:keywords/>
  <dc:description/>
  <cp:lastModifiedBy>Administrator</cp:lastModifiedBy>
  <cp:lastPrinted>2023-11-13T13:43:51Z</cp:lastPrinted>
  <dcterms:created xsi:type="dcterms:W3CDTF">2008-09-24T14:33:07Z</dcterms:created>
  <dcterms:modified xsi:type="dcterms:W3CDTF">2023-11-20T02:18:08Z</dcterms:modified>
  <cp:category/>
  <cp:version/>
  <cp:contentType/>
  <cp:contentStatus/>
</cp:coreProperties>
</file>